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Додаток 1" sheetId="1" r:id="rId1"/>
    <sheet name="додаток 2" sheetId="2" r:id="rId2"/>
    <sheet name="додаток 3" sheetId="3" r:id="rId3"/>
    <sheet name="додаток 4" sheetId="4" r:id="rId4"/>
    <sheet name="додаток 5" sheetId="5" r:id="rId5"/>
    <sheet name="Додаток 6" sheetId="6" r:id="rId6"/>
  </sheets>
  <externalReferences>
    <externalReference r:id="rId9"/>
  </externalReferences>
  <definedNames>
    <definedName name="_xlnm.Print_Area" localSheetId="1">'додаток 2'!$A$1:$L$48</definedName>
    <definedName name="_xlnm.Print_Area" localSheetId="4">'додаток 5'!$A$1:$F$27</definedName>
  </definedNames>
  <calcPr fullCalcOnLoad="1"/>
</workbook>
</file>

<file path=xl/sharedStrings.xml><?xml version="1.0" encoding="utf-8"?>
<sst xmlns="http://schemas.openxmlformats.org/spreadsheetml/2006/main" count="426" uniqueCount="114">
  <si>
    <t xml:space="preserve">Додаток 1 </t>
  </si>
  <si>
    <t>Для населення</t>
  </si>
  <si>
    <t xml:space="preserve"> Найменування показників</t>
  </si>
  <si>
    <t>тис.грн на рік</t>
  </si>
  <si>
    <t>грн/Гкал</t>
  </si>
  <si>
    <t>Корисний відпуск</t>
  </si>
  <si>
    <t>Гкал.</t>
  </si>
  <si>
    <t>Усього операційних витрат, в т.ч.</t>
  </si>
  <si>
    <t>т.грн.</t>
  </si>
  <si>
    <t xml:space="preserve">                                                                                     прямі витрати, у тому числі:</t>
  </si>
  <si>
    <t>матеріальні витрати, у тому числі:</t>
  </si>
  <si>
    <t>3,1.1</t>
  </si>
  <si>
    <t>паливо</t>
  </si>
  <si>
    <t>3,1,2</t>
  </si>
  <si>
    <t>електроенергія для технологічних потреб</t>
  </si>
  <si>
    <t>3,1,3</t>
  </si>
  <si>
    <t xml:space="preserve">водопостачання та стоки  </t>
  </si>
  <si>
    <t>3,1,4</t>
  </si>
  <si>
    <t xml:space="preserve">матеріали та інші матеріальні ресурси </t>
  </si>
  <si>
    <t>3,2,1</t>
  </si>
  <si>
    <t>витрати на оплату праці </t>
  </si>
  <si>
    <t>3,2,2</t>
  </si>
  <si>
    <t>внески на соц.заходи  </t>
  </si>
  <si>
    <t>3,2,3</t>
  </si>
  <si>
    <t>аморт. відрахування</t>
  </si>
  <si>
    <t>3,2,4</t>
  </si>
  <si>
    <t>інші прямі витрати</t>
  </si>
  <si>
    <t xml:space="preserve">Загальновиробничі витрати, у тому числі: </t>
  </si>
  <si>
    <t xml:space="preserve"> матеріальні витрати </t>
  </si>
  <si>
    <t>внески на соц. заходи </t>
  </si>
  <si>
    <t xml:space="preserve">інші витрати </t>
  </si>
  <si>
    <t>Адміністративні витрати, у тому числі:  </t>
  </si>
  <si>
    <t>матеріальні витрати </t>
  </si>
  <si>
    <t>інші витрати </t>
  </si>
  <si>
    <t>Розрахунковий прибуток</t>
  </si>
  <si>
    <t>Вартість  теплової  енергії</t>
  </si>
  <si>
    <t>Тариф на теплову  енергію, без ПДВ</t>
  </si>
  <si>
    <t>Підготував:</t>
  </si>
  <si>
    <t xml:space="preserve">Додаток 2 </t>
  </si>
  <si>
    <t>Вартість виробництва теплової  енергії</t>
  </si>
  <si>
    <t>Тариф на виробництво теплової  енергії, без ПДВ</t>
  </si>
  <si>
    <t>Додаток 5</t>
  </si>
  <si>
    <t>№ з/п</t>
  </si>
  <si>
    <t>Найменування показників</t>
  </si>
  <si>
    <t>Послуга з постачання теплової енергії  для населення,
грн/Гкал</t>
  </si>
  <si>
    <t>Послуга з постачання теплової енергії  для бюджетних організацій,
грн/Гкал</t>
  </si>
  <si>
    <t xml:space="preserve">Послуга з постачання теплової енергії  для інших споживачів (крім населення), грн/Гкал
</t>
  </si>
  <si>
    <t xml:space="preserve">Послуга з постачання теплової енергії  для релігійних організацій, грн/Гкал
</t>
  </si>
  <si>
    <t>Податок на додану вартість</t>
  </si>
  <si>
    <t>Плановий  тариф на послугу з постачання теплової енергії,  грн/Гкал з ПДВ</t>
  </si>
  <si>
    <t>Фактичний середній показник витрат теплової енергії на опалення 1м2 загальної площі  1-2-ох поверхових будівель  за п*ять останніх років - Гкал/м2 на рік</t>
  </si>
  <si>
    <t>Планова тривалість опалювального періоду, діб</t>
  </si>
  <si>
    <t>Кількість теплової енергії на 1м2 опалювальної площі, (для абонентів житлових будинків без будинкових та квартирних приладів обліку теплової енергії, Гкал/м2 на місяць)</t>
  </si>
  <si>
    <t>Начальник управління ЖКГ, ЦЗ, містобудування</t>
  </si>
  <si>
    <t>Вартість транспортування теплової  енергії</t>
  </si>
  <si>
    <t>Тариф на  транспортування теплової  енергії, без ПДВ</t>
  </si>
  <si>
    <t>Додаток 3</t>
  </si>
  <si>
    <t>Вартість постачання теплової  енергії</t>
  </si>
  <si>
    <t>Тариф на постачання теплової  енергії, без ПДВ</t>
  </si>
  <si>
    <t>Додаток 4</t>
  </si>
  <si>
    <t>Структура тарифів на послугу з постачання теплової енергії</t>
  </si>
  <si>
    <t>Структура тарифів на теплову енергію  ВОВЧАНСЬКОГО  ПТМ на 2021-2022 рік</t>
  </si>
  <si>
    <t>Од.вим.</t>
  </si>
  <si>
    <t>Для потреб бюджетних установ</t>
  </si>
  <si>
    <t>Для потреб інших споживачів</t>
  </si>
  <si>
    <t>Для потреб релігійних організацій</t>
  </si>
  <si>
    <t>від 30.09.2021 р. №</t>
  </si>
  <si>
    <t>до рішення виконавчого комітету</t>
  </si>
  <si>
    <t>Вовчанської міської ради</t>
  </si>
  <si>
    <t xml:space="preserve">Перший заступник голови  Вовчанської </t>
  </si>
  <si>
    <t>О.Камінська</t>
  </si>
  <si>
    <t xml:space="preserve">  Структура тарифів на виробництво теплової  енергії  ВОВЧАНСЬКОГО  ПТМ на 2021-2022 рік.</t>
  </si>
  <si>
    <t>Структура тарифів на транспортування  теплової  енергії  ВОВЧАНСЬКОГО  ПТМ на 2021-2022 рік</t>
  </si>
  <si>
    <t>Структура тарифів на постачання  теплової  енергії  ВОВЧАНСЬКОГО  ПТМ  на 2021-2022 рік</t>
  </si>
  <si>
    <t>Од. вим.</t>
  </si>
  <si>
    <t>Вовчанського ПТМ на 2021-2022 роки</t>
  </si>
  <si>
    <t>Тариф на теплову енергію, грн/Гкал   ( без ПДВ)</t>
  </si>
  <si>
    <t>Розрахунок норми споживання теплової енергії для населення, без оснащення приладами обліку теплової енергії</t>
  </si>
  <si>
    <t>по Вовчанському ПТМ на 2021-2022 роки</t>
  </si>
  <si>
    <t>Рік</t>
  </si>
  <si>
    <t>січень</t>
  </si>
  <si>
    <t>лютий</t>
  </si>
  <si>
    <t>березень</t>
  </si>
  <si>
    <t>квітень</t>
  </si>
  <si>
    <t>жовтень</t>
  </si>
  <si>
    <t>листопад</t>
  </si>
  <si>
    <t>грудень</t>
  </si>
  <si>
    <t>Середн.за опалюв.сезон</t>
  </si>
  <si>
    <t>сума Тн.в.</t>
  </si>
  <si>
    <t>Опалювальна площа, м2</t>
  </si>
  <si>
    <t>Отпущено тепла, Гкал</t>
  </si>
  <si>
    <t>Середньоміс.температура</t>
  </si>
  <si>
    <t>тривалість надання послуг, дні</t>
  </si>
  <si>
    <t>сумма Тн.в.</t>
  </si>
  <si>
    <t>ВСЬОГО:</t>
  </si>
  <si>
    <t>Середня опалювальна площа, м2</t>
  </si>
  <si>
    <t>Норма споживання теплової енергії</t>
  </si>
  <si>
    <t>Серед. отпущено тепла, Гкал</t>
  </si>
  <si>
    <t>Гкал/м2 на рік</t>
  </si>
  <si>
    <t>середня тривалість днів</t>
  </si>
  <si>
    <t>Гкал/м2 в місяць</t>
  </si>
  <si>
    <t>Додаток 6</t>
  </si>
  <si>
    <t xml:space="preserve"> заступник міського голови</t>
  </si>
  <si>
    <t>Начальник відділу ЖКГ та ЦЗ апарату міської ради</t>
  </si>
  <si>
    <t>В.Ропало</t>
  </si>
  <si>
    <t xml:space="preserve">Перший </t>
  </si>
  <si>
    <t>заступник  міського голови</t>
  </si>
  <si>
    <t>ник відділу ЖКГ та ЦЗ міської ради</t>
  </si>
  <si>
    <t>Начальник  відділу ЖКГ та ЦЗ міської ради</t>
  </si>
  <si>
    <t>Перший заступник міського голови</t>
  </si>
  <si>
    <t xml:space="preserve">Начальник відділу  ЖКГ  та ЦЗ  міської ради </t>
  </si>
  <si>
    <t xml:space="preserve">Перший заступник міського голови  </t>
  </si>
  <si>
    <t>Начальник відділуи ЖКГ  та ЦЗ  міської ради</t>
  </si>
  <si>
    <t xml:space="preserve">Начальник відділу ЖКГ та ЦЗ  міської ради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</si>
</sst>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b/>
      <sz val="10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8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8"/>
      <name val="Arial Cyr"/>
      <family val="0"/>
    </font>
    <font>
      <b/>
      <sz val="8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2"/>
      <name val="Arial Cyr"/>
      <family val="0"/>
    </font>
    <font>
      <b/>
      <sz val="9"/>
      <name val="Arial Cyr"/>
      <family val="0"/>
    </font>
    <font>
      <b/>
      <i/>
      <u val="single"/>
      <sz val="12"/>
      <name val="Arial Cyr"/>
      <family val="2"/>
    </font>
    <font>
      <b/>
      <i/>
      <u val="single"/>
      <sz val="11"/>
      <name val="Arial Cyr"/>
      <family val="2"/>
    </font>
    <font>
      <i/>
      <sz val="11"/>
      <name val="Arial Cyr"/>
      <family val="2"/>
    </font>
    <font>
      <i/>
      <u val="single"/>
      <sz val="11"/>
      <name val="Arial Cyr"/>
      <family val="2"/>
    </font>
    <font>
      <b/>
      <i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7" fillId="33" borderId="10" xfId="0" applyFont="1" applyFill="1" applyBorder="1" applyAlignment="1">
      <alignment/>
    </xf>
    <xf numFmtId="0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0" fillId="33" borderId="10" xfId="0" applyNumberFormat="1" applyFill="1" applyBorder="1" applyAlignment="1">
      <alignment/>
    </xf>
    <xf numFmtId="0" fontId="9" fillId="0" borderId="10" xfId="0" applyFont="1" applyFill="1" applyBorder="1" applyAlignment="1" applyProtection="1">
      <alignment wrapText="1"/>
      <protection/>
    </xf>
    <xf numFmtId="0" fontId="9" fillId="0" borderId="10" xfId="0" applyFont="1" applyFill="1" applyBorder="1" applyAlignment="1" applyProtection="1">
      <alignment horizontal="left" vertical="top" wrapText="1"/>
      <protection/>
    </xf>
    <xf numFmtId="0" fontId="0" fillId="33" borderId="0" xfId="0" applyNumberFormat="1" applyFill="1" applyBorder="1" applyAlignment="1">
      <alignment/>
    </xf>
    <xf numFmtId="0" fontId="6" fillId="0" borderId="0" xfId="0" applyFont="1" applyFill="1" applyBorder="1" applyAlignment="1" applyProtection="1">
      <alignment wrapText="1"/>
      <protection/>
    </xf>
    <xf numFmtId="174" fontId="0" fillId="0" borderId="0" xfId="0" applyNumberForma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11" fillId="0" borderId="0" xfId="52" applyFont="1" applyFill="1" applyBorder="1" applyAlignment="1" applyProtection="1">
      <alignment horizontal="center" vertical="center" wrapText="1"/>
      <protection hidden="1"/>
    </xf>
    <xf numFmtId="0" fontId="11" fillId="0" borderId="12" xfId="52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>
      <alignment/>
    </xf>
    <xf numFmtId="0" fontId="13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13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4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15" fillId="0" borderId="10" xfId="0" applyFont="1" applyFill="1" applyBorder="1" applyAlignment="1" applyProtection="1">
      <alignment wrapText="1"/>
      <protection/>
    </xf>
    <xf numFmtId="0" fontId="5" fillId="0" borderId="18" xfId="52" applyNumberFormat="1" applyFont="1" applyFill="1" applyBorder="1" applyAlignment="1" applyProtection="1">
      <alignment horizontal="center" vertical="center" wrapText="1"/>
      <protection hidden="1"/>
    </xf>
    <xf numFmtId="2" fontId="16" fillId="0" borderId="10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2" fontId="17" fillId="0" borderId="12" xfId="0" applyNumberFormat="1" applyFont="1" applyFill="1" applyBorder="1" applyAlignment="1">
      <alignment/>
    </xf>
    <xf numFmtId="0" fontId="6" fillId="0" borderId="10" xfId="0" applyFont="1" applyFill="1" applyBorder="1" applyAlignment="1" applyProtection="1">
      <alignment wrapText="1"/>
      <protection/>
    </xf>
    <xf numFmtId="0" fontId="11" fillId="0" borderId="18" xfId="52" applyNumberFormat="1" applyFont="1" applyFill="1" applyBorder="1" applyAlignment="1" applyProtection="1">
      <alignment horizontal="center" vertical="center" wrapText="1"/>
      <protection hidden="1"/>
    </xf>
    <xf numFmtId="2" fontId="4" fillId="0" borderId="0" xfId="0" applyNumberFormat="1" applyFont="1" applyFill="1" applyBorder="1" applyAlignment="1">
      <alignment/>
    </xf>
    <xf numFmtId="2" fontId="7" fillId="0" borderId="12" xfId="0" applyNumberFormat="1" applyFont="1" applyFill="1" applyBorder="1" applyAlignment="1">
      <alignment/>
    </xf>
    <xf numFmtId="0" fontId="6" fillId="0" borderId="10" xfId="0" applyFont="1" applyFill="1" applyBorder="1" applyAlignment="1" applyProtection="1">
      <alignment horizontal="left" vertical="center" wrapText="1"/>
      <protection/>
    </xf>
    <xf numFmtId="2" fontId="7" fillId="0" borderId="10" xfId="0" applyNumberFormat="1" applyFont="1" applyFill="1" applyBorder="1" applyAlignment="1">
      <alignment/>
    </xf>
    <xf numFmtId="2" fontId="18" fillId="0" borderId="12" xfId="0" applyNumberFormat="1" applyFont="1" applyFill="1" applyBorder="1" applyAlignment="1">
      <alignment/>
    </xf>
    <xf numFmtId="0" fontId="6" fillId="0" borderId="10" xfId="0" applyFont="1" applyFill="1" applyBorder="1" applyAlignment="1" applyProtection="1">
      <alignment horizontal="left" vertical="top" wrapText="1"/>
      <protection/>
    </xf>
    <xf numFmtId="1" fontId="11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left" wrapText="1"/>
      <protection/>
    </xf>
    <xf numFmtId="0" fontId="17" fillId="0" borderId="17" xfId="0" applyNumberFormat="1" applyFont="1" applyFill="1" applyBorder="1" applyAlignment="1">
      <alignment/>
    </xf>
    <xf numFmtId="0" fontId="19" fillId="0" borderId="10" xfId="0" applyFont="1" applyFill="1" applyBorder="1" applyAlignment="1" applyProtection="1">
      <alignment wrapText="1"/>
      <protection/>
    </xf>
    <xf numFmtId="1" fontId="5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16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17" fillId="0" borderId="18" xfId="0" applyFont="1" applyFill="1" applyBorder="1" applyAlignment="1">
      <alignment/>
    </xf>
    <xf numFmtId="2" fontId="17" fillId="33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1" fillId="33" borderId="0" xfId="52" applyFont="1" applyFill="1" applyBorder="1" applyAlignment="1" applyProtection="1">
      <alignment horizontal="center" vertical="center" wrapText="1"/>
      <protection hidden="1"/>
    </xf>
    <xf numFmtId="0" fontId="11" fillId="33" borderId="12" xfId="52" applyFont="1" applyFill="1" applyBorder="1" applyAlignment="1" applyProtection="1">
      <alignment horizontal="center" vertical="center" wrapText="1"/>
      <protection hidden="1"/>
    </xf>
    <xf numFmtId="0" fontId="12" fillId="33" borderId="12" xfId="0" applyFont="1" applyFill="1" applyBorder="1" applyAlignment="1">
      <alignment/>
    </xf>
    <xf numFmtId="0" fontId="13" fillId="33" borderId="13" xfId="52" applyNumberFormat="1" applyFont="1" applyFill="1" applyBorder="1" applyAlignment="1" applyProtection="1">
      <alignment horizontal="center" vertical="center" wrapText="1"/>
      <protection hidden="1"/>
    </xf>
    <xf numFmtId="0" fontId="13" fillId="33" borderId="12" xfId="52" applyNumberFormat="1" applyFont="1" applyFill="1" applyBorder="1" applyAlignment="1" applyProtection="1">
      <alignment horizontal="center" vertical="center" wrapText="1"/>
      <protection hidden="1"/>
    </xf>
    <xf numFmtId="0" fontId="12" fillId="35" borderId="14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0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>
      <alignment/>
    </xf>
    <xf numFmtId="0" fontId="0" fillId="33" borderId="17" xfId="0" applyNumberForma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0" xfId="0" applyNumberFormat="1" applyAlignment="1">
      <alignment/>
    </xf>
    <xf numFmtId="0" fontId="17" fillId="33" borderId="17" xfId="0" applyNumberFormat="1" applyFont="1" applyFill="1" applyBorder="1" applyAlignment="1">
      <alignment/>
    </xf>
    <xf numFmtId="2" fontId="16" fillId="0" borderId="12" xfId="0" applyNumberFormat="1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21" fillId="33" borderId="17" xfId="0" applyNumberFormat="1" applyFont="1" applyFill="1" applyBorder="1" applyAlignment="1">
      <alignment/>
    </xf>
    <xf numFmtId="2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6" fillId="34" borderId="0" xfId="0" applyFont="1" applyFill="1" applyAlignment="1">
      <alignment/>
    </xf>
    <xf numFmtId="0" fontId="10" fillId="34" borderId="0" xfId="0" applyFont="1" applyFill="1" applyBorder="1" applyAlignment="1" applyProtection="1">
      <alignment wrapText="1"/>
      <protection/>
    </xf>
    <xf numFmtId="0" fontId="10" fillId="34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2" fontId="18" fillId="0" borderId="10" xfId="0" applyNumberFormat="1" applyFont="1" applyFill="1" applyBorder="1" applyAlignment="1">
      <alignment/>
    </xf>
    <xf numFmtId="2" fontId="22" fillId="0" borderId="10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1" fillId="34" borderId="0" xfId="52" applyFill="1">
      <alignment/>
      <protection/>
    </xf>
    <xf numFmtId="0" fontId="24" fillId="34" borderId="0" xfId="52" applyFont="1" applyFill="1" applyAlignment="1">
      <alignment horizontal="center"/>
      <protection/>
    </xf>
    <xf numFmtId="0" fontId="25" fillId="34" borderId="0" xfId="52" applyFont="1" applyFill="1" applyAlignment="1">
      <alignment horizontal="center"/>
      <protection/>
    </xf>
    <xf numFmtId="0" fontId="25" fillId="34" borderId="10" xfId="52" applyFont="1" applyFill="1" applyBorder="1" applyAlignment="1">
      <alignment horizontal="center" vertical="center" wrapText="1"/>
      <protection/>
    </xf>
    <xf numFmtId="0" fontId="24" fillId="34" borderId="10" xfId="52" applyFont="1" applyFill="1" applyBorder="1" applyAlignment="1">
      <alignment horizontal="center" vertical="center" wrapText="1"/>
      <protection/>
    </xf>
    <xf numFmtId="0" fontId="25" fillId="34" borderId="19" xfId="52" applyFont="1" applyFill="1" applyBorder="1" applyAlignment="1">
      <alignment horizontal="center" vertical="center"/>
      <protection/>
    </xf>
    <xf numFmtId="0" fontId="25" fillId="34" borderId="12" xfId="52" applyFont="1" applyFill="1" applyBorder="1" applyAlignment="1">
      <alignment horizontal="center"/>
      <protection/>
    </xf>
    <xf numFmtId="174" fontId="25" fillId="34" borderId="12" xfId="52" applyNumberFormat="1" applyFont="1" applyFill="1" applyBorder="1" applyAlignment="1">
      <alignment horizontal="center"/>
      <protection/>
    </xf>
    <xf numFmtId="174" fontId="25" fillId="34" borderId="20" xfId="52" applyNumberFormat="1" applyFont="1" applyFill="1" applyBorder="1" applyAlignment="1">
      <alignment horizontal="center"/>
      <protection/>
    </xf>
    <xf numFmtId="0" fontId="25" fillId="34" borderId="21" xfId="52" applyFont="1" applyFill="1" applyBorder="1" applyAlignment="1">
      <alignment horizontal="center" vertical="center"/>
      <protection/>
    </xf>
    <xf numFmtId="0" fontId="25" fillId="34" borderId="22" xfId="52" applyFont="1" applyFill="1" applyBorder="1" applyAlignment="1">
      <alignment horizontal="center"/>
      <protection/>
    </xf>
    <xf numFmtId="174" fontId="25" fillId="34" borderId="22" xfId="52" applyNumberFormat="1" applyFont="1" applyFill="1" applyBorder="1" applyAlignment="1">
      <alignment horizontal="center"/>
      <protection/>
    </xf>
    <xf numFmtId="174" fontId="25" fillId="34" borderId="23" xfId="52" applyNumberFormat="1" applyFont="1" applyFill="1" applyBorder="1" applyAlignment="1">
      <alignment horizontal="center"/>
      <protection/>
    </xf>
    <xf numFmtId="0" fontId="25" fillId="34" borderId="24" xfId="52" applyFont="1" applyFill="1" applyBorder="1" applyAlignment="1">
      <alignment horizontal="center" vertical="center"/>
      <protection/>
    </xf>
    <xf numFmtId="0" fontId="25" fillId="34" borderId="0" xfId="52" applyFont="1" applyFill="1" applyBorder="1" applyAlignment="1">
      <alignment horizontal="center"/>
      <protection/>
    </xf>
    <xf numFmtId="0" fontId="26" fillId="34" borderId="0" xfId="52" applyFont="1" applyFill="1" applyBorder="1" applyAlignment="1">
      <alignment horizontal="center"/>
      <protection/>
    </xf>
    <xf numFmtId="0" fontId="25" fillId="34" borderId="25" xfId="52" applyFont="1" applyFill="1" applyBorder="1" applyAlignment="1">
      <alignment horizontal="center"/>
      <protection/>
    </xf>
    <xf numFmtId="0" fontId="25" fillId="34" borderId="10" xfId="52" applyFont="1" applyFill="1" applyBorder="1" applyAlignment="1">
      <alignment horizontal="center"/>
      <protection/>
    </xf>
    <xf numFmtId="2" fontId="25" fillId="34" borderId="10" xfId="52" applyNumberFormat="1" applyFont="1" applyFill="1" applyBorder="1" applyAlignment="1">
      <alignment horizontal="center"/>
      <protection/>
    </xf>
    <xf numFmtId="2" fontId="25" fillId="34" borderId="26" xfId="52" applyNumberFormat="1" applyFont="1" applyFill="1" applyBorder="1" applyAlignment="1">
      <alignment horizontal="center"/>
      <protection/>
    </xf>
    <xf numFmtId="172" fontId="25" fillId="34" borderId="10" xfId="52" applyNumberFormat="1" applyFont="1" applyFill="1" applyBorder="1" applyAlignment="1">
      <alignment horizontal="center"/>
      <protection/>
    </xf>
    <xf numFmtId="0" fontId="25" fillId="34" borderId="10" xfId="52" applyFont="1" applyFill="1" applyBorder="1" applyAlignment="1">
      <alignment horizontal="center" wrapText="1"/>
      <protection/>
    </xf>
    <xf numFmtId="0" fontId="27" fillId="34" borderId="10" xfId="52" applyFont="1" applyFill="1" applyBorder="1" applyAlignment="1">
      <alignment horizontal="center"/>
      <protection/>
    </xf>
    <xf numFmtId="174" fontId="27" fillId="34" borderId="26" xfId="52" applyNumberFormat="1" applyFont="1" applyFill="1" applyBorder="1" applyAlignment="1">
      <alignment horizontal="center"/>
      <protection/>
    </xf>
    <xf numFmtId="0" fontId="25" fillId="34" borderId="27" xfId="52" applyFont="1" applyFill="1" applyBorder="1" applyAlignment="1">
      <alignment horizontal="center"/>
      <protection/>
    </xf>
    <xf numFmtId="0" fontId="25" fillId="34" borderId="28" xfId="52" applyFont="1" applyFill="1" applyBorder="1" applyAlignment="1">
      <alignment horizontal="center"/>
      <protection/>
    </xf>
    <xf numFmtId="0" fontId="25" fillId="34" borderId="29" xfId="52" applyFont="1" applyFill="1" applyBorder="1" applyAlignment="1">
      <alignment horizontal="center" vertical="center"/>
      <protection/>
    </xf>
    <xf numFmtId="0" fontId="25" fillId="34" borderId="29" xfId="52" applyFont="1" applyFill="1" applyBorder="1" applyAlignment="1">
      <alignment horizontal="center"/>
      <protection/>
    </xf>
    <xf numFmtId="172" fontId="25" fillId="34" borderId="26" xfId="52" applyNumberFormat="1" applyFont="1" applyFill="1" applyBorder="1" applyAlignment="1">
      <alignment horizontal="center"/>
      <protection/>
    </xf>
    <xf numFmtId="2" fontId="27" fillId="34" borderId="26" xfId="52" applyNumberFormat="1" applyFont="1" applyFill="1" applyBorder="1" applyAlignment="1">
      <alignment horizontal="center"/>
      <protection/>
    </xf>
    <xf numFmtId="0" fontId="25" fillId="34" borderId="24" xfId="52" applyFont="1" applyFill="1" applyBorder="1" applyAlignment="1">
      <alignment horizontal="center"/>
      <protection/>
    </xf>
    <xf numFmtId="174" fontId="25" fillId="34" borderId="10" xfId="52" applyNumberFormat="1" applyFont="1" applyFill="1" applyBorder="1" applyAlignment="1">
      <alignment horizontal="center"/>
      <protection/>
    </xf>
    <xf numFmtId="174" fontId="25" fillId="34" borderId="26" xfId="52" applyNumberFormat="1" applyFont="1" applyFill="1" applyBorder="1" applyAlignment="1">
      <alignment horizontal="center"/>
      <protection/>
    </xf>
    <xf numFmtId="0" fontId="25" fillId="34" borderId="0" xfId="52" applyFont="1" applyFill="1" applyBorder="1" applyAlignment="1">
      <alignment horizontal="center" vertical="center"/>
      <protection/>
    </xf>
    <xf numFmtId="0" fontId="25" fillId="0" borderId="11" xfId="52" applyFont="1" applyFill="1" applyBorder="1" applyAlignment="1">
      <alignment horizontal="center"/>
      <protection/>
    </xf>
    <xf numFmtId="0" fontId="25" fillId="0" borderId="0" xfId="52" applyFont="1" applyFill="1" applyAlignment="1">
      <alignment horizontal="center"/>
      <protection/>
    </xf>
    <xf numFmtId="0" fontId="25" fillId="0" borderId="25" xfId="52" applyFont="1" applyFill="1" applyBorder="1" applyAlignment="1">
      <alignment horizontal="center"/>
      <protection/>
    </xf>
    <xf numFmtId="174" fontId="25" fillId="0" borderId="10" xfId="52" applyNumberFormat="1" applyFont="1" applyFill="1" applyBorder="1" applyAlignment="1">
      <alignment horizontal="center"/>
      <protection/>
    </xf>
    <xf numFmtId="0" fontId="51" fillId="0" borderId="0" xfId="0" applyFont="1" applyAlignment="1">
      <alignment/>
    </xf>
    <xf numFmtId="172" fontId="0" fillId="0" borderId="10" xfId="0" applyNumberFormat="1" applyBorder="1" applyAlignment="1">
      <alignment horizontal="left"/>
    </xf>
    <xf numFmtId="0" fontId="25" fillId="0" borderId="0" xfId="52" applyFont="1" applyFill="1" applyBorder="1" applyAlignment="1">
      <alignment horizontal="center" vertical="center"/>
      <protection/>
    </xf>
    <xf numFmtId="0" fontId="25" fillId="0" borderId="0" xfId="52" applyFont="1" applyFill="1" applyBorder="1" applyAlignment="1">
      <alignment horizontal="center" vertical="center" wrapText="1"/>
      <protection/>
    </xf>
    <xf numFmtId="0" fontId="25" fillId="0" borderId="0" xfId="52" applyFont="1" applyFill="1" applyBorder="1" applyAlignment="1">
      <alignment horizontal="center"/>
      <protection/>
    </xf>
    <xf numFmtId="0" fontId="1" fillId="0" borderId="0" xfId="52">
      <alignment/>
      <protection/>
    </xf>
    <xf numFmtId="0" fontId="3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0" borderId="15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5" fillId="34" borderId="21" xfId="52" applyFont="1" applyFill="1" applyBorder="1" applyAlignment="1">
      <alignment horizontal="center" vertical="center"/>
      <protection/>
    </xf>
    <xf numFmtId="0" fontId="25" fillId="34" borderId="31" xfId="52" applyFont="1" applyFill="1" applyBorder="1" applyAlignment="1">
      <alignment horizontal="center" vertical="center"/>
      <protection/>
    </xf>
    <xf numFmtId="0" fontId="25" fillId="34" borderId="32" xfId="52" applyFont="1" applyFill="1" applyBorder="1" applyAlignment="1">
      <alignment horizontal="center" vertical="center"/>
      <protection/>
    </xf>
    <xf numFmtId="0" fontId="25" fillId="0" borderId="10" xfId="52" applyFont="1" applyFill="1" applyBorder="1" applyAlignment="1">
      <alignment horizontal="center" vertical="center"/>
      <protection/>
    </xf>
    <xf numFmtId="0" fontId="51" fillId="0" borderId="10" xfId="0" applyFont="1" applyBorder="1" applyAlignment="1">
      <alignment horizontal="center" wrapText="1"/>
    </xf>
    <xf numFmtId="0" fontId="25" fillId="0" borderId="10" xfId="52" applyFont="1" applyFill="1" applyBorder="1" applyAlignment="1">
      <alignment horizontal="left"/>
      <protection/>
    </xf>
    <xf numFmtId="1" fontId="25" fillId="0" borderId="15" xfId="52" applyNumberFormat="1" applyFont="1" applyFill="1" applyBorder="1" applyAlignment="1">
      <alignment horizontal="center"/>
      <protection/>
    </xf>
    <xf numFmtId="1" fontId="25" fillId="0" borderId="12" xfId="52" applyNumberFormat="1" applyFont="1" applyFill="1" applyBorder="1" applyAlignment="1">
      <alignment horizontal="center"/>
      <protection/>
    </xf>
    <xf numFmtId="0" fontId="23" fillId="34" borderId="0" xfId="52" applyFont="1" applyFill="1" applyAlignment="1">
      <alignment horizontal="center"/>
      <protection/>
    </xf>
    <xf numFmtId="0" fontId="24" fillId="34" borderId="0" xfId="52" applyFont="1" applyFill="1" applyAlignment="1">
      <alignment horizontal="center"/>
      <protection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6;&#1044;&#1040;\Downloads\&#1056;&#1086;&#1079;&#1087;&#1086;&#1076;&#1110;&#1083;%20&#1087;&#1083;&#1072;&#1085;&#1086;&#1074;&#1086;&#1111;%20&#1089;&#1086;&#1073;&#1110;&#1074;&#1072;&#1088;&#1090;&#1086;&#1089;&#1090;&#11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хн.-екон.пок.-газ в тарифі"/>
      <sheetName val="ТЕП в тарифі на альт.паливі"/>
      <sheetName val="т.е.показ.на 2020-2021"/>
      <sheetName val="в тариф на 2020-2021р"/>
      <sheetName val="розрах.-формули"/>
      <sheetName val="теп.енергія"/>
      <sheetName val="виробництво"/>
      <sheetName val="транспорт."/>
      <sheetName val="постачання"/>
      <sheetName val="послуга"/>
      <sheetName val="додаток 1"/>
      <sheetName val="додаток 2"/>
      <sheetName val="додаток 3"/>
      <sheetName val="додаток 4"/>
      <sheetName val="додаток 5"/>
      <sheetName val="розподіл соб-ті (альтернатива)"/>
      <sheetName val="теп.ен (альтернатива)"/>
      <sheetName val="виробництво (альернатива)"/>
      <sheetName val="транспортування (альтернатива)"/>
      <sheetName val="постачання (альтернатива)"/>
      <sheetName val="послуга (альтернатива)"/>
    </sheetNames>
    <sheetDataSet>
      <sheetData sheetId="3">
        <row r="12">
          <cell r="E12">
            <v>10023.772</v>
          </cell>
          <cell r="F12">
            <v>9248.692</v>
          </cell>
          <cell r="G12">
            <v>701.145</v>
          </cell>
        </row>
        <row r="16">
          <cell r="K16">
            <v>24407.857</v>
          </cell>
          <cell r="L16">
            <v>1856.239</v>
          </cell>
          <cell r="M16">
            <v>2281.275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K17">
            <v>294.818</v>
          </cell>
          <cell r="L17">
            <v>22.423</v>
          </cell>
          <cell r="M17">
            <v>31.88</v>
          </cell>
          <cell r="P17">
            <v>294.82</v>
          </cell>
          <cell r="Q17">
            <v>22.42</v>
          </cell>
          <cell r="R17">
            <v>31.88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K18">
            <v>97.9</v>
          </cell>
          <cell r="L18">
            <v>7.42</v>
          </cell>
          <cell r="M18">
            <v>10.58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K19">
            <v>682.22</v>
          </cell>
          <cell r="L19">
            <v>51.72</v>
          </cell>
          <cell r="M19">
            <v>40.56</v>
          </cell>
          <cell r="P19">
            <v>23.94</v>
          </cell>
          <cell r="Q19">
            <v>1.8199999999999719</v>
          </cell>
          <cell r="R19">
            <v>2.59</v>
          </cell>
          <cell r="U19">
            <v>11.03</v>
          </cell>
          <cell r="V19">
            <v>0.8400000000000016</v>
          </cell>
          <cell r="W19">
            <v>1.19</v>
          </cell>
        </row>
        <row r="20">
          <cell r="K20">
            <v>7682.75</v>
          </cell>
          <cell r="L20">
            <v>579.41</v>
          </cell>
          <cell r="M20">
            <v>456.57</v>
          </cell>
          <cell r="P20">
            <v>363.21</v>
          </cell>
          <cell r="Q20">
            <v>27.54000000000002</v>
          </cell>
          <cell r="R20">
            <v>39.27</v>
          </cell>
          <cell r="U20">
            <v>119</v>
          </cell>
          <cell r="V20">
            <v>9.02000000000001</v>
          </cell>
          <cell r="W20">
            <v>12.87</v>
          </cell>
        </row>
        <row r="21">
          <cell r="K21">
            <v>1689.59</v>
          </cell>
          <cell r="L21">
            <v>128.08359999999985</v>
          </cell>
          <cell r="M21">
            <v>100.45</v>
          </cell>
          <cell r="P21">
            <v>79.91</v>
          </cell>
          <cell r="Q21">
            <v>6.057999999999993</v>
          </cell>
          <cell r="R21">
            <v>8.64</v>
          </cell>
          <cell r="U21">
            <v>26.18</v>
          </cell>
          <cell r="V21">
            <v>1.98</v>
          </cell>
          <cell r="W21">
            <v>2.83</v>
          </cell>
        </row>
        <row r="22">
          <cell r="K22">
            <v>381.16</v>
          </cell>
          <cell r="L22">
            <v>28.9</v>
          </cell>
          <cell r="M22">
            <v>22.66</v>
          </cell>
          <cell r="P22">
            <v>5.56</v>
          </cell>
          <cell r="Q22">
            <v>0.41999999999999993</v>
          </cell>
          <cell r="R22">
            <v>0.6</v>
          </cell>
          <cell r="U22">
            <v>0.6</v>
          </cell>
          <cell r="V22">
            <v>0.050000000000000044</v>
          </cell>
          <cell r="W22">
            <v>0.07</v>
          </cell>
        </row>
        <row r="23">
          <cell r="K23">
            <v>810.94</v>
          </cell>
          <cell r="L23">
            <v>61.480000000000004</v>
          </cell>
          <cell r="M23">
            <v>48.21</v>
          </cell>
          <cell r="P23">
            <v>28.46</v>
          </cell>
          <cell r="Q23">
            <v>2.1599999999998936</v>
          </cell>
          <cell r="R23">
            <v>3.08</v>
          </cell>
          <cell r="U23">
            <v>34.68</v>
          </cell>
          <cell r="V23">
            <v>2.6300000000000026</v>
          </cell>
          <cell r="W23">
            <v>3.75</v>
          </cell>
        </row>
        <row r="24">
          <cell r="L24">
            <v>96.67</v>
          </cell>
        </row>
        <row r="25">
          <cell r="K25">
            <v>144.94</v>
          </cell>
          <cell r="L25">
            <v>10.99</v>
          </cell>
          <cell r="M25">
            <v>15.67</v>
          </cell>
          <cell r="P25">
            <v>6.81</v>
          </cell>
          <cell r="Q25">
            <v>0.5200000000000014</v>
          </cell>
          <cell r="R25">
            <v>0.74</v>
          </cell>
          <cell r="U25">
            <v>3.09</v>
          </cell>
          <cell r="V25">
            <v>0.23840000000000083</v>
          </cell>
          <cell r="W25">
            <v>0.33</v>
          </cell>
        </row>
        <row r="26">
          <cell r="K26">
            <v>821.75</v>
          </cell>
          <cell r="L26">
            <v>62.3</v>
          </cell>
          <cell r="M26">
            <v>88.85</v>
          </cell>
          <cell r="P26">
            <v>70.6</v>
          </cell>
          <cell r="Q26">
            <v>5.3515000000000015</v>
          </cell>
          <cell r="R26">
            <v>7.63</v>
          </cell>
          <cell r="U26">
            <v>48.95</v>
          </cell>
          <cell r="V26">
            <v>3.7066400000000073</v>
          </cell>
          <cell r="W26">
            <v>5.29</v>
          </cell>
        </row>
        <row r="27">
          <cell r="K27">
            <v>180.78</v>
          </cell>
          <cell r="L27">
            <v>13.71</v>
          </cell>
          <cell r="M27">
            <v>19.55</v>
          </cell>
          <cell r="P27">
            <v>15.53</v>
          </cell>
          <cell r="Q27">
            <v>1.1815000000000015</v>
          </cell>
          <cell r="R27">
            <v>1.68</v>
          </cell>
          <cell r="U27">
            <v>10.77</v>
          </cell>
          <cell r="V27">
            <v>0.8154400000000042</v>
          </cell>
          <cell r="W27">
            <v>1.16</v>
          </cell>
        </row>
        <row r="28">
          <cell r="K28">
            <v>89.81</v>
          </cell>
          <cell r="L28">
            <v>6.81</v>
          </cell>
          <cell r="M28">
            <v>9.71</v>
          </cell>
          <cell r="P28">
            <v>4.22</v>
          </cell>
          <cell r="Q28">
            <v>0.3199999999999994</v>
          </cell>
          <cell r="R28">
            <v>0.46</v>
          </cell>
          <cell r="U28">
            <v>1.92</v>
          </cell>
          <cell r="V28">
            <v>0.14440000000000008</v>
          </cell>
          <cell r="W28">
            <v>0.21</v>
          </cell>
        </row>
        <row r="29">
          <cell r="K29">
            <v>37.68</v>
          </cell>
          <cell r="L29">
            <v>2.86</v>
          </cell>
          <cell r="M29">
            <v>4.07</v>
          </cell>
          <cell r="P29">
            <v>1.78</v>
          </cell>
          <cell r="Q29">
            <v>0.13000000000000012</v>
          </cell>
          <cell r="R29">
            <v>0.19</v>
          </cell>
          <cell r="U29">
            <v>0.81</v>
          </cell>
          <cell r="V29">
            <v>0.05879999999999985</v>
          </cell>
          <cell r="W29">
            <v>0.09</v>
          </cell>
        </row>
        <row r="30">
          <cell r="L30">
            <v>109.10999999999979</v>
          </cell>
        </row>
        <row r="31">
          <cell r="K31">
            <v>38.16</v>
          </cell>
          <cell r="L31">
            <v>2.8900000000000006</v>
          </cell>
          <cell r="M31">
            <v>4.13</v>
          </cell>
          <cell r="P31">
            <v>1.79</v>
          </cell>
          <cell r="Q31">
            <v>0.14000000000000012</v>
          </cell>
          <cell r="R31">
            <v>0.19</v>
          </cell>
          <cell r="U31">
            <v>0.82</v>
          </cell>
          <cell r="V31">
            <v>0.06099999999999994</v>
          </cell>
          <cell r="W31">
            <v>0.09</v>
          </cell>
        </row>
        <row r="32">
          <cell r="K32">
            <v>1081.54</v>
          </cell>
          <cell r="L32">
            <v>81.98999999999978</v>
          </cell>
          <cell r="M32">
            <v>116.94</v>
          </cell>
          <cell r="P32">
            <v>92.92</v>
          </cell>
          <cell r="Q32">
            <v>7.039999999999992</v>
          </cell>
          <cell r="R32">
            <v>10.05</v>
          </cell>
          <cell r="U32">
            <v>64.42</v>
          </cell>
          <cell r="V32">
            <v>4.885480000000015</v>
          </cell>
          <cell r="W32">
            <v>6.97</v>
          </cell>
        </row>
        <row r="33">
          <cell r="K33">
            <v>237.94</v>
          </cell>
          <cell r="L33">
            <v>18.04000000000002</v>
          </cell>
          <cell r="M33">
            <v>25.73</v>
          </cell>
          <cell r="P33">
            <v>20.44</v>
          </cell>
          <cell r="Q33">
            <v>1.5499999999999972</v>
          </cell>
          <cell r="R33">
            <v>2.21</v>
          </cell>
          <cell r="U33">
            <v>14.17</v>
          </cell>
          <cell r="V33">
            <v>1.0777200000000047</v>
          </cell>
          <cell r="W33">
            <v>1.53</v>
          </cell>
        </row>
        <row r="34">
          <cell r="K34">
            <v>3.57</v>
          </cell>
          <cell r="L34">
            <v>0.27</v>
          </cell>
          <cell r="M34">
            <v>0.39</v>
          </cell>
          <cell r="P34">
            <v>0.17</v>
          </cell>
          <cell r="Q34">
            <v>0.009999999999999981</v>
          </cell>
          <cell r="R34">
            <v>0.02</v>
          </cell>
          <cell r="U34">
            <v>0.08</v>
          </cell>
          <cell r="V34">
            <v>0.004800000000000013</v>
          </cell>
          <cell r="W34">
            <v>0.01</v>
          </cell>
        </row>
        <row r="35">
          <cell r="K35">
            <v>78.12</v>
          </cell>
          <cell r="L35">
            <v>5.9199999999999875</v>
          </cell>
          <cell r="M35">
            <v>8.45</v>
          </cell>
          <cell r="P35">
            <v>3.67</v>
          </cell>
          <cell r="Q35">
            <v>0.2799999999999998</v>
          </cell>
          <cell r="R35">
            <v>0.4</v>
          </cell>
          <cell r="U35">
            <v>1.67</v>
          </cell>
          <cell r="V35">
            <v>0.12460000000000004</v>
          </cell>
          <cell r="W35">
            <v>0.18</v>
          </cell>
        </row>
        <row r="36">
          <cell r="K36">
            <v>1550.46</v>
          </cell>
          <cell r="L36">
            <v>117.66</v>
          </cell>
          <cell r="M36">
            <v>131.43</v>
          </cell>
          <cell r="P36">
            <v>40.55</v>
          </cell>
          <cell r="Q36">
            <v>3.08</v>
          </cell>
          <cell r="R36">
            <v>4.38</v>
          </cell>
          <cell r="U36">
            <v>13.53</v>
          </cell>
          <cell r="V36">
            <v>1.03</v>
          </cell>
          <cell r="W36">
            <v>1.46</v>
          </cell>
        </row>
        <row r="38">
          <cell r="P38">
            <v>1054.3799999999999</v>
          </cell>
          <cell r="Q38">
            <v>80.02099999999986</v>
          </cell>
        </row>
      </sheetData>
      <sheetData sheetId="6">
        <row r="13">
          <cell r="H13">
            <v>38761.525</v>
          </cell>
          <cell r="I13">
            <v>4191.0599999999995</v>
          </cell>
          <cell r="J13">
            <v>2941.4556</v>
          </cell>
          <cell r="K13">
            <v>4191.0599999999995</v>
          </cell>
          <cell r="L13">
            <v>3285.6749999999997</v>
          </cell>
        </row>
        <row r="14">
          <cell r="H14">
            <v>36047.235</v>
          </cell>
          <cell r="I14">
            <v>3897.5699999999997</v>
          </cell>
          <cell r="J14">
            <v>2735.6756</v>
          </cell>
          <cell r="K14">
            <v>3897.5699999999997</v>
          </cell>
          <cell r="L14">
            <v>2992.185</v>
          </cell>
        </row>
        <row r="15">
          <cell r="H15">
            <v>25482.795000000002</v>
          </cell>
          <cell r="I15">
            <v>2759.6</v>
          </cell>
          <cell r="J15">
            <v>1937.8020000000001</v>
          </cell>
          <cell r="K15">
            <v>2759.6</v>
          </cell>
          <cell r="L15">
            <v>2364.295</v>
          </cell>
        </row>
        <row r="16">
          <cell r="H16">
            <v>24407.857</v>
          </cell>
          <cell r="I16">
            <v>2643.23</v>
          </cell>
          <cell r="J16">
            <v>1856.239</v>
          </cell>
          <cell r="K16">
            <v>2643.23</v>
          </cell>
          <cell r="L16">
            <v>2281.275</v>
          </cell>
        </row>
        <row r="17">
          <cell r="H17">
            <v>294.818</v>
          </cell>
          <cell r="I17">
            <v>32.019999999999996</v>
          </cell>
          <cell r="J17">
            <v>22.423</v>
          </cell>
          <cell r="K17">
            <v>32.02</v>
          </cell>
          <cell r="L17">
            <v>31.88</v>
          </cell>
        </row>
        <row r="18">
          <cell r="H18">
            <v>97.9</v>
          </cell>
          <cell r="I18">
            <v>10.58</v>
          </cell>
          <cell r="J18">
            <v>7.42</v>
          </cell>
          <cell r="K18">
            <v>10.58</v>
          </cell>
          <cell r="L18">
            <v>10.58</v>
          </cell>
        </row>
        <row r="19">
          <cell r="H19">
            <v>682.22</v>
          </cell>
          <cell r="I19">
            <v>73.77000000000001</v>
          </cell>
          <cell r="J19">
            <v>51.72</v>
          </cell>
          <cell r="K19">
            <v>73.77</v>
          </cell>
          <cell r="L19">
            <v>40.56</v>
          </cell>
        </row>
        <row r="20">
          <cell r="H20">
            <v>7682.75</v>
          </cell>
          <cell r="I20">
            <v>826.3800000000001</v>
          </cell>
          <cell r="J20">
            <v>579.41</v>
          </cell>
          <cell r="K20">
            <v>826.38</v>
          </cell>
          <cell r="L20">
            <v>456.57</v>
          </cell>
        </row>
        <row r="21">
          <cell r="H21">
            <v>1689.59</v>
          </cell>
          <cell r="I21">
            <v>182.68</v>
          </cell>
          <cell r="J21">
            <v>128.08359999999985</v>
          </cell>
          <cell r="K21">
            <v>182.68</v>
          </cell>
          <cell r="L21">
            <v>100.45</v>
          </cell>
        </row>
        <row r="22">
          <cell r="H22">
            <v>381.16</v>
          </cell>
          <cell r="I22">
            <v>41.22</v>
          </cell>
          <cell r="J22">
            <v>28.9</v>
          </cell>
          <cell r="K22">
            <v>41.22</v>
          </cell>
          <cell r="L22">
            <v>22.66</v>
          </cell>
        </row>
        <row r="23">
          <cell r="H23">
            <v>810.94</v>
          </cell>
          <cell r="I23">
            <v>87.69000000000001</v>
          </cell>
          <cell r="J23">
            <v>61.480000000000004</v>
          </cell>
          <cell r="K23">
            <v>87.69</v>
          </cell>
          <cell r="L23">
            <v>48.21</v>
          </cell>
        </row>
        <row r="24">
          <cell r="H24">
            <v>1274.96</v>
          </cell>
          <cell r="I24">
            <v>137.85</v>
          </cell>
          <cell r="J24">
            <v>96.67</v>
          </cell>
          <cell r="K24">
            <v>137.85</v>
          </cell>
          <cell r="L24">
            <v>137.85</v>
          </cell>
        </row>
        <row r="25">
          <cell r="H25">
            <v>144.94</v>
          </cell>
          <cell r="I25">
            <v>15.67</v>
          </cell>
          <cell r="J25">
            <v>10.99</v>
          </cell>
          <cell r="K25">
            <v>15.67</v>
          </cell>
          <cell r="L25">
            <v>15.67</v>
          </cell>
        </row>
        <row r="26">
          <cell r="H26">
            <v>821.75</v>
          </cell>
          <cell r="I26">
            <v>88.85</v>
          </cell>
          <cell r="J26">
            <v>62.3</v>
          </cell>
          <cell r="K26">
            <v>88.85</v>
          </cell>
          <cell r="L26">
            <v>88.85</v>
          </cell>
        </row>
        <row r="27">
          <cell r="H27">
            <v>180.78</v>
          </cell>
          <cell r="I27">
            <v>19.55</v>
          </cell>
          <cell r="J27">
            <v>13.71</v>
          </cell>
          <cell r="K27">
            <v>19.55</v>
          </cell>
          <cell r="L27">
            <v>19.55</v>
          </cell>
        </row>
        <row r="28">
          <cell r="H28">
            <v>89.81</v>
          </cell>
          <cell r="I28">
            <v>9.71</v>
          </cell>
          <cell r="J28">
            <v>6.81</v>
          </cell>
          <cell r="K28">
            <v>9.71</v>
          </cell>
          <cell r="L28">
            <v>9.71</v>
          </cell>
        </row>
        <row r="29">
          <cell r="H29">
            <v>37.68</v>
          </cell>
          <cell r="I29">
            <v>4.07</v>
          </cell>
          <cell r="J29">
            <v>2.86</v>
          </cell>
          <cell r="K29">
            <v>4.07</v>
          </cell>
          <cell r="L29">
            <v>4.07</v>
          </cell>
        </row>
        <row r="30">
          <cell r="H30">
            <v>1439.33</v>
          </cell>
          <cell r="J30">
            <v>109.10999999999979</v>
          </cell>
          <cell r="K30">
            <v>155.63999999999996</v>
          </cell>
          <cell r="L30">
            <v>155.63999999999996</v>
          </cell>
        </row>
        <row r="31">
          <cell r="H31">
            <v>38.16</v>
          </cell>
          <cell r="I31">
            <v>4.13</v>
          </cell>
          <cell r="J31">
            <v>2.8900000000000006</v>
          </cell>
          <cell r="K31">
            <v>4.13</v>
          </cell>
          <cell r="L31">
            <v>4.13</v>
          </cell>
        </row>
        <row r="32">
          <cell r="H32">
            <v>1081.54</v>
          </cell>
          <cell r="I32">
            <v>116.94</v>
          </cell>
          <cell r="J32">
            <v>81.98999999999978</v>
          </cell>
          <cell r="K32">
            <v>116.94</v>
          </cell>
          <cell r="L32">
            <v>116.94</v>
          </cell>
        </row>
        <row r="33">
          <cell r="H33">
            <v>237.94</v>
          </cell>
          <cell r="I33">
            <v>25.73</v>
          </cell>
          <cell r="J33">
            <v>18.04000000000002</v>
          </cell>
          <cell r="K33">
            <v>25.73</v>
          </cell>
          <cell r="L33">
            <v>25.73</v>
          </cell>
        </row>
        <row r="34">
          <cell r="H34">
            <v>3.57</v>
          </cell>
          <cell r="I34">
            <v>0.39</v>
          </cell>
          <cell r="J34">
            <v>0.27</v>
          </cell>
          <cell r="K34">
            <v>0.39</v>
          </cell>
          <cell r="L34">
            <v>0.39</v>
          </cell>
        </row>
        <row r="35">
          <cell r="H35">
            <v>78.12</v>
          </cell>
          <cell r="I35">
            <v>8.45</v>
          </cell>
          <cell r="J35">
            <v>5.9199999999999875</v>
          </cell>
          <cell r="K35">
            <v>8.45</v>
          </cell>
          <cell r="L35">
            <v>8.45</v>
          </cell>
        </row>
        <row r="36">
          <cell r="H36">
            <v>1550.46</v>
          </cell>
          <cell r="I36">
            <v>167.60999999999999</v>
          </cell>
          <cell r="J36">
            <v>117.66</v>
          </cell>
          <cell r="K36">
            <v>167.61</v>
          </cell>
          <cell r="L36">
            <v>131.43</v>
          </cell>
        </row>
        <row r="37">
          <cell r="H37">
            <v>40311.985</v>
          </cell>
          <cell r="J37">
            <v>3059.1155999999996</v>
          </cell>
          <cell r="L37">
            <v>3417.1049999999996</v>
          </cell>
        </row>
        <row r="38">
          <cell r="L38">
            <v>3417.1049999999996</v>
          </cell>
        </row>
      </sheetData>
      <sheetData sheetId="7">
        <row r="13">
          <cell r="H13">
            <v>1013.8299999999999</v>
          </cell>
          <cell r="I13">
            <v>109.63000000000001</v>
          </cell>
          <cell r="J13">
            <v>76.94099999999986</v>
          </cell>
          <cell r="K13">
            <v>109.63000000000001</v>
          </cell>
          <cell r="L13">
            <v>109.61999999999999</v>
          </cell>
        </row>
        <row r="14">
          <cell r="H14">
            <v>795.9</v>
          </cell>
          <cell r="I14">
            <v>86.06</v>
          </cell>
          <cell r="J14">
            <v>60.41799999999988</v>
          </cell>
          <cell r="K14">
            <v>86.06</v>
          </cell>
          <cell r="L14">
            <v>86.04999999999998</v>
          </cell>
        </row>
        <row r="15">
          <cell r="H15">
            <v>318.76</v>
          </cell>
          <cell r="I15">
            <v>34.47</v>
          </cell>
          <cell r="J15">
            <v>24.239999999999974</v>
          </cell>
          <cell r="K15">
            <v>34.47</v>
          </cell>
          <cell r="L15">
            <v>34.459999999999994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H17">
            <v>294.82</v>
          </cell>
          <cell r="I17">
            <v>31.88</v>
          </cell>
          <cell r="J17">
            <v>22.42</v>
          </cell>
          <cell r="K17">
            <v>31.88</v>
          </cell>
          <cell r="L17">
            <v>31.869999999999997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H19">
            <v>23.94</v>
          </cell>
          <cell r="I19">
            <v>2.59</v>
          </cell>
          <cell r="J19">
            <v>1.8199999999999719</v>
          </cell>
          <cell r="K19">
            <v>2.5900000000000003</v>
          </cell>
          <cell r="L19">
            <v>2.59</v>
          </cell>
        </row>
        <row r="20">
          <cell r="H20">
            <v>363.21</v>
          </cell>
          <cell r="I20">
            <v>39.27</v>
          </cell>
          <cell r="J20">
            <v>27.54000000000002</v>
          </cell>
          <cell r="K20">
            <v>39.27</v>
          </cell>
          <cell r="L20">
            <v>39.27</v>
          </cell>
        </row>
        <row r="21">
          <cell r="H21">
            <v>79.91</v>
          </cell>
          <cell r="I21">
            <v>8.64</v>
          </cell>
          <cell r="J21">
            <v>6.057999999999993</v>
          </cell>
          <cell r="K21">
            <v>8.64</v>
          </cell>
          <cell r="L21">
            <v>8.64</v>
          </cell>
        </row>
        <row r="22">
          <cell r="H22">
            <v>5.56</v>
          </cell>
          <cell r="I22">
            <v>0.6</v>
          </cell>
          <cell r="J22">
            <v>0.41999999999999993</v>
          </cell>
          <cell r="K22">
            <v>0.6</v>
          </cell>
          <cell r="L22">
            <v>0.6</v>
          </cell>
        </row>
        <row r="23">
          <cell r="H23">
            <v>28.46</v>
          </cell>
          <cell r="I23">
            <v>3.08</v>
          </cell>
          <cell r="J23">
            <v>2.1599999999998936</v>
          </cell>
          <cell r="K23">
            <v>3.08</v>
          </cell>
          <cell r="L23">
            <v>3.08</v>
          </cell>
        </row>
        <row r="24">
          <cell r="H24">
            <v>98.94</v>
          </cell>
          <cell r="I24">
            <v>10.7</v>
          </cell>
          <cell r="J24">
            <v>7.503000000000004</v>
          </cell>
          <cell r="K24">
            <v>10.7</v>
          </cell>
          <cell r="L24">
            <v>10.7</v>
          </cell>
        </row>
        <row r="25">
          <cell r="H25">
            <v>6.81</v>
          </cell>
          <cell r="I25">
            <v>0.74</v>
          </cell>
          <cell r="J25">
            <v>0.5200000000000014</v>
          </cell>
          <cell r="K25">
            <v>0.74</v>
          </cell>
          <cell r="L25">
            <v>0.74</v>
          </cell>
        </row>
        <row r="26">
          <cell r="H26">
            <v>70.6</v>
          </cell>
          <cell r="I26">
            <v>7.63</v>
          </cell>
          <cell r="J26">
            <v>5.3515000000000015</v>
          </cell>
          <cell r="K26">
            <v>7.63</v>
          </cell>
          <cell r="L26">
            <v>7.63</v>
          </cell>
        </row>
        <row r="27">
          <cell r="H27">
            <v>15.53</v>
          </cell>
          <cell r="I27">
            <v>1.68</v>
          </cell>
          <cell r="J27">
            <v>1.1815000000000015</v>
          </cell>
          <cell r="K27">
            <v>1.68</v>
          </cell>
          <cell r="L27">
            <v>1.68</v>
          </cell>
        </row>
        <row r="28">
          <cell r="H28">
            <v>4.22</v>
          </cell>
          <cell r="I28">
            <v>0.46</v>
          </cell>
          <cell r="J28">
            <v>0.3199999999999994</v>
          </cell>
          <cell r="K28">
            <v>0.46</v>
          </cell>
          <cell r="L28">
            <v>0.46</v>
          </cell>
        </row>
        <row r="29">
          <cell r="H29">
            <v>1.78</v>
          </cell>
          <cell r="I29">
            <v>0.19</v>
          </cell>
          <cell r="J29">
            <v>0.13000000000000012</v>
          </cell>
          <cell r="K29">
            <v>0.19</v>
          </cell>
          <cell r="L29">
            <v>0.19</v>
          </cell>
        </row>
        <row r="30">
          <cell r="H30">
            <v>118.99000000000001</v>
          </cell>
          <cell r="J30">
            <v>9.019999999999989</v>
          </cell>
          <cell r="K30">
            <v>12.87</v>
          </cell>
          <cell r="L30">
            <v>12.87</v>
          </cell>
        </row>
        <row r="31">
          <cell r="H31">
            <v>1.79</v>
          </cell>
          <cell r="I31">
            <v>0.19</v>
          </cell>
          <cell r="J31">
            <v>0.14000000000000012</v>
          </cell>
          <cell r="K31">
            <v>0.19</v>
          </cell>
          <cell r="L31">
            <v>0.19</v>
          </cell>
        </row>
        <row r="32">
          <cell r="H32">
            <v>92.92</v>
          </cell>
          <cell r="I32">
            <v>10.05</v>
          </cell>
          <cell r="J32">
            <v>7.039999999999992</v>
          </cell>
          <cell r="K32">
            <v>10.049999999999999</v>
          </cell>
          <cell r="L32">
            <v>10.05</v>
          </cell>
        </row>
        <row r="33">
          <cell r="H33">
            <v>20.44</v>
          </cell>
          <cell r="I33">
            <v>2.21</v>
          </cell>
          <cell r="J33">
            <v>1.5499999999999972</v>
          </cell>
          <cell r="K33">
            <v>2.21</v>
          </cell>
          <cell r="L33">
            <v>2.21</v>
          </cell>
        </row>
        <row r="34">
          <cell r="H34">
            <v>0.17</v>
          </cell>
          <cell r="I34">
            <v>0.02</v>
          </cell>
          <cell r="J34">
            <v>0.009999999999999981</v>
          </cell>
          <cell r="K34">
            <v>0.02</v>
          </cell>
          <cell r="L34">
            <v>0.02</v>
          </cell>
        </row>
        <row r="35">
          <cell r="H35">
            <v>3.67</v>
          </cell>
          <cell r="I35">
            <v>0.4</v>
          </cell>
          <cell r="J35">
            <v>0.2799999999999998</v>
          </cell>
          <cell r="K35">
            <v>0.4</v>
          </cell>
          <cell r="L35">
            <v>0.4</v>
          </cell>
        </row>
        <row r="36">
          <cell r="H36">
            <v>40.55</v>
          </cell>
          <cell r="I36">
            <v>4.38</v>
          </cell>
          <cell r="J36">
            <v>3.08</v>
          </cell>
          <cell r="K36">
            <v>4.38</v>
          </cell>
          <cell r="L36">
            <v>4.38</v>
          </cell>
        </row>
        <row r="37">
          <cell r="H37">
            <v>1054.3799999999999</v>
          </cell>
          <cell r="J37">
            <v>80.02099999999986</v>
          </cell>
          <cell r="L37">
            <v>114.00999999999999</v>
          </cell>
        </row>
        <row r="38">
          <cell r="L38">
            <v>114.00999999999999</v>
          </cell>
        </row>
      </sheetData>
      <sheetData sheetId="8">
        <row r="13">
          <cell r="H13">
            <v>338.19000000000005</v>
          </cell>
          <cell r="I13">
            <v>36.57</v>
          </cell>
          <cell r="J13">
            <v>25.637280000000047</v>
          </cell>
          <cell r="K13">
            <v>36.5687165992769</v>
          </cell>
          <cell r="L13">
            <v>36.57</v>
          </cell>
        </row>
        <row r="14">
          <cell r="H14">
            <v>191.49</v>
          </cell>
          <cell r="I14">
            <v>20.71</v>
          </cell>
          <cell r="J14">
            <v>14.520000000000016</v>
          </cell>
          <cell r="K14">
            <v>20.711007280947594</v>
          </cell>
          <cell r="L14">
            <v>20.71</v>
          </cell>
        </row>
        <row r="15">
          <cell r="H15">
            <v>11.03</v>
          </cell>
          <cell r="I15">
            <v>1.19</v>
          </cell>
          <cell r="J15">
            <v>0.8400000000000016</v>
          </cell>
          <cell r="K15">
            <v>1.19</v>
          </cell>
          <cell r="L15">
            <v>1.19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H19">
            <v>11.03</v>
          </cell>
          <cell r="I19">
            <v>1.19</v>
          </cell>
          <cell r="J19">
            <v>0.8400000000000016</v>
          </cell>
          <cell r="K19">
            <v>1.19</v>
          </cell>
          <cell r="L19">
            <v>1.19</v>
          </cell>
        </row>
        <row r="20">
          <cell r="H20">
            <v>119</v>
          </cell>
          <cell r="I20">
            <v>12.87</v>
          </cell>
          <cell r="J20">
            <v>9.02000000000001</v>
          </cell>
          <cell r="K20">
            <v>12.87</v>
          </cell>
          <cell r="L20">
            <v>12.87</v>
          </cell>
        </row>
        <row r="21">
          <cell r="H21">
            <v>26.18</v>
          </cell>
          <cell r="I21">
            <v>2.83</v>
          </cell>
          <cell r="J21">
            <v>1.98</v>
          </cell>
          <cell r="K21">
            <v>2.8299999999999996</v>
          </cell>
          <cell r="L21">
            <v>2.83</v>
          </cell>
        </row>
        <row r="22">
          <cell r="H22">
            <v>0.6</v>
          </cell>
          <cell r="I22">
            <v>0.06999999999999999</v>
          </cell>
          <cell r="J22">
            <v>0.050000000000000044</v>
          </cell>
          <cell r="K22">
            <v>0.07</v>
          </cell>
          <cell r="L22">
            <v>0.07</v>
          </cell>
        </row>
        <row r="23">
          <cell r="H23">
            <v>34.68</v>
          </cell>
          <cell r="I23">
            <v>3.75</v>
          </cell>
          <cell r="J23">
            <v>2.6300000000000026</v>
          </cell>
          <cell r="K23">
            <v>3.7510072809475967</v>
          </cell>
          <cell r="L23">
            <v>3.75</v>
          </cell>
        </row>
        <row r="24">
          <cell r="H24">
            <v>65.54</v>
          </cell>
          <cell r="I24">
            <v>7.08</v>
          </cell>
          <cell r="J24">
            <v>4.963680000000012</v>
          </cell>
          <cell r="K24">
            <v>7.08</v>
          </cell>
          <cell r="L24">
            <v>7.08</v>
          </cell>
        </row>
        <row r="25">
          <cell r="H25">
            <v>3.09</v>
          </cell>
          <cell r="I25">
            <v>0.33</v>
          </cell>
          <cell r="J25">
            <v>0.23840000000000083</v>
          </cell>
          <cell r="K25">
            <v>0.33</v>
          </cell>
          <cell r="L25">
            <v>0.33</v>
          </cell>
        </row>
        <row r="26">
          <cell r="H26">
            <v>48.95</v>
          </cell>
          <cell r="I26">
            <v>5.29</v>
          </cell>
          <cell r="J26">
            <v>3.7066400000000073</v>
          </cell>
          <cell r="K26">
            <v>5.29</v>
          </cell>
          <cell r="L26">
            <v>5.29</v>
          </cell>
        </row>
        <row r="27">
          <cell r="H27">
            <v>10.77</v>
          </cell>
          <cell r="I27">
            <v>1.16</v>
          </cell>
          <cell r="J27">
            <v>0.8154400000000042</v>
          </cell>
          <cell r="K27">
            <v>1.16</v>
          </cell>
          <cell r="L27">
            <v>1.16</v>
          </cell>
        </row>
        <row r="28">
          <cell r="H28">
            <v>1.92</v>
          </cell>
          <cell r="I28">
            <v>0.21</v>
          </cell>
          <cell r="J28">
            <v>0.14440000000000008</v>
          </cell>
          <cell r="K28">
            <v>0.21</v>
          </cell>
          <cell r="L28">
            <v>0.21</v>
          </cell>
        </row>
        <row r="29">
          <cell r="H29">
            <v>0.81</v>
          </cell>
          <cell r="I29">
            <v>0.09</v>
          </cell>
          <cell r="J29">
            <v>0.05879999999999985</v>
          </cell>
          <cell r="K29">
            <v>0.09</v>
          </cell>
          <cell r="L29">
            <v>0.09</v>
          </cell>
        </row>
        <row r="30">
          <cell r="H30">
            <v>81.16</v>
          </cell>
          <cell r="J30">
            <v>6.15360000000002</v>
          </cell>
          <cell r="K30">
            <v>8.777709318329304</v>
          </cell>
          <cell r="L30">
            <v>8.78</v>
          </cell>
        </row>
        <row r="31">
          <cell r="H31">
            <v>0.82</v>
          </cell>
          <cell r="I31">
            <v>0.09</v>
          </cell>
          <cell r="J31">
            <v>0.06099999999999994</v>
          </cell>
          <cell r="K31">
            <v>0.09</v>
          </cell>
          <cell r="L31">
            <v>0.09</v>
          </cell>
        </row>
        <row r="32">
          <cell r="H32">
            <v>64.42</v>
          </cell>
          <cell r="I32">
            <v>6.97</v>
          </cell>
          <cell r="J32">
            <v>4.885480000000015</v>
          </cell>
          <cell r="K32">
            <v>6.97</v>
          </cell>
          <cell r="L32">
            <v>6.97</v>
          </cell>
        </row>
        <row r="33">
          <cell r="H33">
            <v>14.17</v>
          </cell>
          <cell r="I33">
            <v>1.53</v>
          </cell>
          <cell r="J33">
            <v>1.0777200000000047</v>
          </cell>
          <cell r="K33">
            <v>1.53</v>
          </cell>
          <cell r="L33">
            <v>1.53</v>
          </cell>
        </row>
        <row r="34">
          <cell r="H34">
            <v>0.08</v>
          </cell>
          <cell r="I34">
            <v>0.01</v>
          </cell>
          <cell r="J34">
            <v>0.004800000000000013</v>
          </cell>
          <cell r="K34">
            <v>0.01</v>
          </cell>
          <cell r="L34">
            <v>0.01</v>
          </cell>
        </row>
        <row r="35">
          <cell r="H35">
            <v>1.67</v>
          </cell>
          <cell r="I35">
            <v>0.18</v>
          </cell>
          <cell r="J35">
            <v>0.12460000000000004</v>
          </cell>
          <cell r="K35">
            <v>0.17770931832930428</v>
          </cell>
          <cell r="L35">
            <v>0.18</v>
          </cell>
        </row>
        <row r="36">
          <cell r="H36">
            <v>13.53</v>
          </cell>
          <cell r="I36">
            <v>1.46</v>
          </cell>
          <cell r="J36">
            <v>1.03</v>
          </cell>
          <cell r="K36">
            <v>1.46</v>
          </cell>
          <cell r="L36">
            <v>1.46</v>
          </cell>
        </row>
        <row r="37">
          <cell r="H37">
            <v>351.72</v>
          </cell>
          <cell r="J37">
            <v>26.667280000000048</v>
          </cell>
          <cell r="L37">
            <v>38.03</v>
          </cell>
        </row>
        <row r="38">
          <cell r="L38">
            <v>38.03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30">
      <selection activeCell="K38" sqref="K38"/>
    </sheetView>
  </sheetViews>
  <sheetFormatPr defaultColWidth="9.140625" defaultRowHeight="15"/>
  <cols>
    <col min="1" max="1" width="5.7109375" style="0" customWidth="1"/>
    <col min="2" max="2" width="28.57421875" style="0" customWidth="1"/>
    <col min="3" max="3" width="9.7109375" style="0" customWidth="1"/>
    <col min="4" max="4" width="10.28125" style="0" hidden="1" customWidth="1"/>
    <col min="5" max="5" width="9.140625" style="0" hidden="1" customWidth="1"/>
    <col min="6" max="6" width="11.8515625" style="0" customWidth="1"/>
    <col min="7" max="7" width="10.8515625" style="0" customWidth="1"/>
    <col min="8" max="8" width="11.8515625" style="0" customWidth="1"/>
    <col min="9" max="9" width="11.140625" style="0" customWidth="1"/>
    <col min="10" max="10" width="10.7109375" style="0" customWidth="1"/>
    <col min="11" max="11" width="10.00390625" style="0" customWidth="1"/>
    <col min="12" max="12" width="13.00390625" style="0" customWidth="1"/>
  </cols>
  <sheetData>
    <row r="1" spans="9:11" ht="15.75" customHeight="1">
      <c r="I1" s="22" t="s">
        <v>0</v>
      </c>
      <c r="J1" s="1"/>
      <c r="K1" s="1"/>
    </row>
    <row r="2" spans="9:11" ht="15.75" customHeight="1">
      <c r="I2" s="182" t="s">
        <v>67</v>
      </c>
      <c r="J2" s="1"/>
      <c r="K2" s="1"/>
    </row>
    <row r="3" spans="9:11" ht="15.75" customHeight="1">
      <c r="I3" s="182" t="s">
        <v>68</v>
      </c>
      <c r="J3" s="1"/>
      <c r="K3" s="1"/>
    </row>
    <row r="4" spans="9:11" ht="15.75" customHeight="1">
      <c r="I4" s="182" t="s">
        <v>66</v>
      </c>
      <c r="J4" s="1"/>
      <c r="K4" s="1"/>
    </row>
    <row r="5" spans="9:11" ht="15.75" customHeight="1">
      <c r="I5" s="182"/>
      <c r="J5" s="1"/>
      <c r="K5" s="1"/>
    </row>
    <row r="6" spans="1:12" ht="15.75" customHeight="1">
      <c r="A6" s="146" t="s">
        <v>61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7" ht="15.75" customHeight="1"/>
    <row r="8" spans="1:12" ht="18.75" customHeight="1">
      <c r="A8" s="147" t="s">
        <v>42</v>
      </c>
      <c r="B8" s="147" t="s">
        <v>2</v>
      </c>
      <c r="C8" s="147" t="s">
        <v>62</v>
      </c>
      <c r="F8" s="150" t="s">
        <v>1</v>
      </c>
      <c r="G8" s="151"/>
      <c r="H8" s="156" t="s">
        <v>63</v>
      </c>
      <c r="I8" s="157"/>
      <c r="J8" s="156" t="s">
        <v>64</v>
      </c>
      <c r="K8" s="157"/>
      <c r="L8" s="162" t="s">
        <v>65</v>
      </c>
    </row>
    <row r="9" spans="1:12" ht="18.75" customHeight="1">
      <c r="A9" s="148"/>
      <c r="B9" s="148"/>
      <c r="C9" s="148"/>
      <c r="D9" s="62"/>
      <c r="E9" s="63"/>
      <c r="F9" s="152"/>
      <c r="G9" s="153"/>
      <c r="H9" s="158"/>
      <c r="I9" s="159"/>
      <c r="J9" s="158"/>
      <c r="K9" s="159"/>
      <c r="L9" s="163"/>
    </row>
    <row r="10" spans="1:12" ht="18.75" customHeight="1">
      <c r="A10" s="148"/>
      <c r="B10" s="148"/>
      <c r="C10" s="148"/>
      <c r="D10" s="61"/>
      <c r="E10" s="61"/>
      <c r="F10" s="154"/>
      <c r="G10" s="155"/>
      <c r="H10" s="160"/>
      <c r="I10" s="161"/>
      <c r="J10" s="160"/>
      <c r="K10" s="161"/>
      <c r="L10" s="164"/>
    </row>
    <row r="11" spans="1:12" ht="40.5" customHeight="1">
      <c r="A11" s="149"/>
      <c r="B11" s="149"/>
      <c r="C11" s="149"/>
      <c r="D11" s="64"/>
      <c r="E11" s="64"/>
      <c r="F11" s="64" t="s">
        <v>3</v>
      </c>
      <c r="G11" s="65" t="s">
        <v>4</v>
      </c>
      <c r="H11" s="64" t="s">
        <v>3</v>
      </c>
      <c r="I11" s="65" t="s">
        <v>4</v>
      </c>
      <c r="J11" s="64" t="s">
        <v>3</v>
      </c>
      <c r="K11" s="65" t="s">
        <v>4</v>
      </c>
      <c r="L11" s="65" t="s">
        <v>4</v>
      </c>
    </row>
    <row r="12" spans="1:12" ht="15.75" customHeight="1">
      <c r="A12" s="66">
        <v>1</v>
      </c>
      <c r="B12" s="67">
        <v>2</v>
      </c>
      <c r="C12" s="68">
        <v>3</v>
      </c>
      <c r="D12" s="69">
        <v>4</v>
      </c>
      <c r="E12" s="70"/>
      <c r="F12" s="70">
        <v>4</v>
      </c>
      <c r="G12" s="70">
        <v>5</v>
      </c>
      <c r="H12" s="70">
        <v>6</v>
      </c>
      <c r="I12" s="70">
        <v>7</v>
      </c>
      <c r="J12" s="70">
        <v>8</v>
      </c>
      <c r="K12" s="70">
        <v>9</v>
      </c>
      <c r="L12" s="70">
        <v>10</v>
      </c>
    </row>
    <row r="13" spans="1:12" ht="15.75" customHeight="1">
      <c r="A13" s="71">
        <v>1</v>
      </c>
      <c r="B13" s="72" t="s">
        <v>5</v>
      </c>
      <c r="C13" s="34" t="s">
        <v>6</v>
      </c>
      <c r="D13" s="35">
        <v>22955.4</v>
      </c>
      <c r="E13" s="36"/>
      <c r="F13" s="84">
        <f>'[1]в тариф на 2020-2021р'!E12</f>
        <v>10023.772</v>
      </c>
      <c r="G13" s="84">
        <f>F13</f>
        <v>10023.772</v>
      </c>
      <c r="H13" s="58">
        <f>'[1]в тариф на 2020-2021р'!F12</f>
        <v>9248.692</v>
      </c>
      <c r="I13" s="58">
        <f>H13</f>
        <v>9248.692</v>
      </c>
      <c r="J13" s="14">
        <f>'[1]в тариф на 2020-2021р'!G12</f>
        <v>701.145</v>
      </c>
      <c r="K13" s="14">
        <f>J13</f>
        <v>701.145</v>
      </c>
      <c r="L13" s="73">
        <v>1</v>
      </c>
    </row>
    <row r="14" spans="1:14" ht="31.5" customHeight="1">
      <c r="A14" s="74">
        <v>2</v>
      </c>
      <c r="B14" s="39" t="s">
        <v>7</v>
      </c>
      <c r="C14" s="40" t="s">
        <v>8</v>
      </c>
      <c r="D14" s="58">
        <v>34888.21</v>
      </c>
      <c r="E14" s="46">
        <v>34888.21</v>
      </c>
      <c r="F14" s="76">
        <v>17686.96</v>
      </c>
      <c r="G14" s="76">
        <v>1696.32</v>
      </c>
      <c r="H14" s="76">
        <f>'[1]виробництво'!H13+'[1]транспорт.'!H13+'[1]постачання'!H13</f>
        <v>40113.545000000006</v>
      </c>
      <c r="I14" s="76">
        <f>'[1]виробництво'!I13+'[1]транспорт.'!I13+'[1]постачання'!I13</f>
        <v>4337.259999999999</v>
      </c>
      <c r="J14" s="76">
        <f>'[1]виробництво'!J13+'[1]транспорт.'!J13+'[1]постачання'!J13-0.01</f>
        <v>3044.0238799999993</v>
      </c>
      <c r="K14" s="76">
        <f>'[1]виробництво'!K13+'[1]транспорт.'!K13+'[1]постачання'!K13</f>
        <v>4337.258716599276</v>
      </c>
      <c r="L14" s="76">
        <f>'[1]виробництво'!L13+'[1]транспорт.'!L13+'[1]постачання'!L13</f>
        <v>3431.865</v>
      </c>
      <c r="M14" s="80"/>
      <c r="N14" s="80"/>
    </row>
    <row r="15" spans="1:14" ht="15.75" customHeight="1">
      <c r="A15" s="74">
        <v>3</v>
      </c>
      <c r="B15" s="55" t="s">
        <v>9</v>
      </c>
      <c r="C15" s="40" t="s">
        <v>8</v>
      </c>
      <c r="D15" s="57">
        <v>31185.68</v>
      </c>
      <c r="E15" s="42">
        <v>31185.68</v>
      </c>
      <c r="F15" s="76">
        <v>14751.52</v>
      </c>
      <c r="G15" s="76">
        <v>1414.71</v>
      </c>
      <c r="H15" s="76">
        <f>'[1]виробництво'!H14+'[1]транспорт.'!H14+'[1]постачання'!H14</f>
        <v>37034.625</v>
      </c>
      <c r="I15" s="76">
        <f>'[1]виробництво'!I14+'[1]транспорт.'!I14+'[1]постачання'!I14</f>
        <v>4004.3399999999997</v>
      </c>
      <c r="J15" s="76">
        <f>'[1]виробництво'!J14+'[1]транспорт.'!J14+'[1]постачання'!J14</f>
        <v>2810.6135999999997</v>
      </c>
      <c r="K15" s="76">
        <f>'[1]виробництво'!K14+'[1]транспорт.'!K14+'[1]постачання'!K14</f>
        <v>4004.3410072809475</v>
      </c>
      <c r="L15" s="76">
        <f>'[1]виробництво'!L14+'[1]транспорт.'!L14+'[1]постачання'!L14</f>
        <v>3098.945</v>
      </c>
      <c r="M15" s="80"/>
      <c r="N15" s="80"/>
    </row>
    <row r="16" spans="1:14" ht="25.5" customHeight="1">
      <c r="A16" s="74">
        <v>3.1</v>
      </c>
      <c r="B16" s="44" t="s">
        <v>10</v>
      </c>
      <c r="C16" s="45" t="s">
        <v>8</v>
      </c>
      <c r="D16" s="35">
        <v>27491.35</v>
      </c>
      <c r="E16" s="46">
        <v>27491.35</v>
      </c>
      <c r="F16" s="78">
        <v>12622.7</v>
      </c>
      <c r="G16" s="78">
        <v>1210.53</v>
      </c>
      <c r="H16" s="78">
        <f>'[1]виробництво'!H15+'[1]транспорт.'!H15+'[1]постачання'!H15</f>
        <v>25812.585</v>
      </c>
      <c r="I16" s="78">
        <f>'[1]виробництво'!I15+'[1]транспорт.'!I15+'[1]постачання'!I15</f>
        <v>2795.2599999999998</v>
      </c>
      <c r="J16" s="78">
        <f>'[1]виробництво'!J15+'[1]транспорт.'!J15+'[1]постачання'!J15</f>
        <v>1962.882</v>
      </c>
      <c r="K16" s="78">
        <f>'[1]виробництво'!K15+'[1]транспорт.'!K15+'[1]постачання'!K15</f>
        <v>2795.2599999999998</v>
      </c>
      <c r="L16" s="78">
        <f>'[1]виробництво'!L15+'[1]транспорт.'!L15+'[1]постачання'!L15</f>
        <v>2399.945</v>
      </c>
      <c r="M16" s="80"/>
      <c r="N16" s="80"/>
    </row>
    <row r="17" spans="1:14" ht="18" customHeight="1">
      <c r="A17" s="74" t="s">
        <v>11</v>
      </c>
      <c r="B17" s="48" t="s">
        <v>12</v>
      </c>
      <c r="C17" s="45" t="s">
        <v>8</v>
      </c>
      <c r="D17" s="35">
        <v>25751.19</v>
      </c>
      <c r="E17" s="46">
        <v>25751.19</v>
      </c>
      <c r="F17" s="78">
        <v>11709.27</v>
      </c>
      <c r="G17" s="78">
        <v>1123.21</v>
      </c>
      <c r="H17" s="78">
        <f>'[1]виробництво'!H16+'[1]транспорт.'!H16+'[1]постачання'!H16</f>
        <v>24407.857</v>
      </c>
      <c r="I17" s="78">
        <f>'[1]виробництво'!I16+'[1]транспорт.'!I16+'[1]постачання'!I16</f>
        <v>2643.23</v>
      </c>
      <c r="J17" s="78">
        <f>'[1]виробництво'!J16+'[1]транспорт.'!J16+'[1]постачання'!J16</f>
        <v>1856.239</v>
      </c>
      <c r="K17" s="78">
        <f>'[1]виробництво'!K16+'[1]транспорт.'!K16+'[1]постачання'!K16</f>
        <v>2643.23</v>
      </c>
      <c r="L17" s="78">
        <f>'[1]виробництво'!L16+'[1]транспорт.'!L16+'[1]постачання'!L16</f>
        <v>2281.275</v>
      </c>
      <c r="M17" s="80"/>
      <c r="N17" s="80"/>
    </row>
    <row r="18" spans="1:14" ht="25.5" customHeight="1">
      <c r="A18" s="74" t="s">
        <v>13</v>
      </c>
      <c r="B18" s="51" t="s">
        <v>14</v>
      </c>
      <c r="C18" s="45" t="s">
        <v>8</v>
      </c>
      <c r="D18" s="35">
        <v>924.52</v>
      </c>
      <c r="E18" s="46">
        <v>924.52</v>
      </c>
      <c r="F18" s="78">
        <v>730.16</v>
      </c>
      <c r="G18" s="78">
        <v>69.74</v>
      </c>
      <c r="H18" s="78">
        <f>'[1]виробництво'!H17+'[1]транспорт.'!H17+'[1]постачання'!H17</f>
        <v>589.6379999999999</v>
      </c>
      <c r="I18" s="78">
        <f>'[1]виробництво'!I17+'[1]транспорт.'!I17+'[1]постачання'!I17</f>
        <v>63.89999999999999</v>
      </c>
      <c r="J18" s="78">
        <f>'[1]виробництво'!J17+'[1]транспорт.'!J17+'[1]постачання'!J17</f>
        <v>44.843</v>
      </c>
      <c r="K18" s="78">
        <f>'[1]виробництво'!K17+'[1]транспорт.'!K17+'[1]постачання'!K17</f>
        <v>63.900000000000006</v>
      </c>
      <c r="L18" s="78">
        <f>'[1]виробництво'!L17+'[1]транспорт.'!L17+'[1]постачання'!L17</f>
        <v>63.75</v>
      </c>
      <c r="M18" s="80"/>
      <c r="N18" s="80"/>
    </row>
    <row r="19" spans="1:14" ht="15.75" customHeight="1">
      <c r="A19" s="74" t="s">
        <v>15</v>
      </c>
      <c r="B19" s="51" t="s">
        <v>16</v>
      </c>
      <c r="C19" s="45" t="s">
        <v>8</v>
      </c>
      <c r="D19" s="35">
        <v>157.7</v>
      </c>
      <c r="E19" s="46">
        <v>157.7</v>
      </c>
      <c r="F19" s="78">
        <v>75.37</v>
      </c>
      <c r="G19" s="78">
        <v>7.23</v>
      </c>
      <c r="H19" s="78">
        <f>'[1]виробництво'!H18+'[1]транспорт.'!H18+'[1]постачання'!H18</f>
        <v>97.9</v>
      </c>
      <c r="I19" s="78">
        <f>'[1]виробництво'!I18+'[1]транспорт.'!I18+'[1]постачання'!I18</f>
        <v>10.58</v>
      </c>
      <c r="J19" s="78">
        <f>'[1]виробництво'!J18+'[1]транспорт.'!J18+'[1]постачання'!J18</f>
        <v>7.42</v>
      </c>
      <c r="K19" s="78">
        <f>'[1]виробництво'!K18+'[1]транспорт.'!K18+'[1]постачання'!K18</f>
        <v>10.58</v>
      </c>
      <c r="L19" s="78">
        <f>'[1]виробництво'!L18+'[1]транспорт.'!L18+'[1]постачання'!L18</f>
        <v>10.58</v>
      </c>
      <c r="M19" s="80"/>
      <c r="N19" s="80"/>
    </row>
    <row r="20" spans="1:14" ht="15.75" customHeight="1">
      <c r="A20" s="74" t="s">
        <v>17</v>
      </c>
      <c r="B20" s="51" t="s">
        <v>18</v>
      </c>
      <c r="C20" s="52" t="s">
        <v>8</v>
      </c>
      <c r="D20" s="35">
        <v>657.94</v>
      </c>
      <c r="E20" s="46">
        <v>657.94</v>
      </c>
      <c r="F20" s="78">
        <v>107.9</v>
      </c>
      <c r="G20" s="78">
        <v>10.35</v>
      </c>
      <c r="H20" s="78">
        <f>'[1]виробництво'!H19+'[1]транспорт.'!H19+'[1]постачання'!H19</f>
        <v>717.19</v>
      </c>
      <c r="I20" s="78">
        <f>'[1]виробництво'!I19+'[1]транспорт.'!I19+'[1]постачання'!I19+0.01</f>
        <v>77.56000000000002</v>
      </c>
      <c r="J20" s="78">
        <f>'[1]виробництво'!J19+'[1]транспорт.'!J19+'[1]постачання'!J19</f>
        <v>54.379999999999974</v>
      </c>
      <c r="K20" s="78">
        <f>'[1]виробництво'!K19+'[1]транспорт.'!K19+'[1]постачання'!K19+0.01</f>
        <v>77.56</v>
      </c>
      <c r="L20" s="78">
        <f>'[1]виробництво'!L19+'[1]транспорт.'!L19+'[1]постачання'!L19</f>
        <v>44.34</v>
      </c>
      <c r="M20" s="80"/>
      <c r="N20" s="80"/>
    </row>
    <row r="21" spans="1:14" ht="15.75" customHeight="1">
      <c r="A21" s="74" t="s">
        <v>19</v>
      </c>
      <c r="B21" s="44" t="s">
        <v>20</v>
      </c>
      <c r="C21" s="52" t="s">
        <v>8</v>
      </c>
      <c r="D21" s="35">
        <v>2644.33</v>
      </c>
      <c r="E21" s="46">
        <v>2644.33</v>
      </c>
      <c r="F21" s="78">
        <v>1469.28</v>
      </c>
      <c r="G21" s="78">
        <v>140.92</v>
      </c>
      <c r="H21" s="78">
        <f>'[1]виробництво'!H20+'[1]транспорт.'!H20+'[1]постачання'!H20</f>
        <v>8164.96</v>
      </c>
      <c r="I21" s="78">
        <f>'[1]виробництво'!I20+'[1]транспорт.'!I20+'[1]постачання'!I20</f>
        <v>878.5200000000001</v>
      </c>
      <c r="J21" s="78">
        <f>'[1]виробництво'!J20+'[1]транспорт.'!J20+'[1]постачання'!J20</f>
        <v>615.97</v>
      </c>
      <c r="K21" s="78">
        <f>'[1]виробництво'!K20+'[1]транспорт.'!K20+'[1]постачання'!K20</f>
        <v>878.52</v>
      </c>
      <c r="L21" s="78">
        <f>'[1]виробництво'!L20+'[1]транспорт.'!L20+'[1]постачання'!L20</f>
        <v>508.71</v>
      </c>
      <c r="M21" s="80"/>
      <c r="N21" s="80"/>
    </row>
    <row r="22" spans="1:14" ht="15.75" customHeight="1">
      <c r="A22" s="74" t="s">
        <v>21</v>
      </c>
      <c r="B22" s="53" t="s">
        <v>22</v>
      </c>
      <c r="C22" s="52" t="s">
        <v>8</v>
      </c>
      <c r="D22" s="35">
        <v>581.75</v>
      </c>
      <c r="E22" s="46">
        <v>581.75</v>
      </c>
      <c r="F22" s="78">
        <v>323.25</v>
      </c>
      <c r="G22" s="78">
        <v>31.01</v>
      </c>
      <c r="H22" s="78">
        <f>'[1]виробництво'!H21+'[1]транспорт.'!H21+'[1]постачання'!H21</f>
        <v>1795.68</v>
      </c>
      <c r="I22" s="78">
        <f>'[1]виробництво'!I21+'[1]транспорт.'!I21+'[1]постачання'!I21</f>
        <v>194.15</v>
      </c>
      <c r="J22" s="78">
        <f>'[1]виробництво'!J21+'[1]транспорт.'!J21+'[1]постачання'!J21</f>
        <v>136.12159999999983</v>
      </c>
      <c r="K22" s="78">
        <f>'[1]виробництво'!K21+'[1]транспорт.'!K21+'[1]постачання'!K21</f>
        <v>194.15</v>
      </c>
      <c r="L22" s="78">
        <f>'[1]виробництво'!L21+'[1]транспорт.'!L21+'[1]постачання'!L21</f>
        <v>111.92</v>
      </c>
      <c r="M22" s="80"/>
      <c r="N22" s="80"/>
    </row>
    <row r="23" spans="1:14" ht="15.75" customHeight="1">
      <c r="A23" s="74" t="s">
        <v>23</v>
      </c>
      <c r="B23" s="44" t="s">
        <v>24</v>
      </c>
      <c r="C23" s="52" t="s">
        <v>8</v>
      </c>
      <c r="D23" s="35">
        <v>137.52</v>
      </c>
      <c r="E23" s="46">
        <v>137.52</v>
      </c>
      <c r="F23" s="78">
        <v>67.42</v>
      </c>
      <c r="G23" s="78">
        <v>6.46</v>
      </c>
      <c r="H23" s="78">
        <f>'[1]виробництво'!H22+'[1]транспорт.'!H22+'[1]постачання'!H22</f>
        <v>387.32000000000005</v>
      </c>
      <c r="I23" s="78">
        <f>'[1]виробництво'!I22+'[1]транспорт.'!I22+'[1]постачання'!I22</f>
        <v>41.89</v>
      </c>
      <c r="J23" s="78">
        <f>'[1]виробництво'!J22+'[1]транспорт.'!J22+'[1]постачання'!J22</f>
        <v>29.37</v>
      </c>
      <c r="K23" s="78">
        <f>'[1]виробництво'!K22+'[1]транспорт.'!K22+'[1]постачання'!K22</f>
        <v>41.89</v>
      </c>
      <c r="L23" s="78">
        <f>'[1]виробництво'!L22+'[1]транспорт.'!L22+'[1]постачання'!L22</f>
        <v>23.330000000000002</v>
      </c>
      <c r="M23" s="80"/>
      <c r="N23" s="80"/>
    </row>
    <row r="24" spans="1:14" ht="15.75" customHeight="1">
      <c r="A24" s="74" t="s">
        <v>25</v>
      </c>
      <c r="B24" s="44" t="s">
        <v>26</v>
      </c>
      <c r="C24" s="52" t="s">
        <v>8</v>
      </c>
      <c r="D24" s="35">
        <v>330.73</v>
      </c>
      <c r="E24" s="46">
        <v>330.73</v>
      </c>
      <c r="F24" s="78">
        <v>268.87</v>
      </c>
      <c r="G24" s="78">
        <v>25.79</v>
      </c>
      <c r="H24" s="78">
        <f>'[1]виробництво'!H23+'[1]транспорт.'!H23+'[1]постачання'!H23</f>
        <v>874.08</v>
      </c>
      <c r="I24" s="78">
        <f>'[1]виробництво'!I23+'[1]транспорт.'!I23+'[1]постачання'!I23</f>
        <v>94.52000000000001</v>
      </c>
      <c r="J24" s="78">
        <f>'[1]виробництво'!J23+'[1]транспорт.'!J23+'[1]постачання'!J23</f>
        <v>66.2699999999999</v>
      </c>
      <c r="K24" s="78">
        <f>'[1]виробництво'!K23+'[1]транспорт.'!K23+'[1]постачання'!K23</f>
        <v>94.52100728094759</v>
      </c>
      <c r="L24" s="78">
        <f>'[1]виробництво'!L23+'[1]транспорт.'!L23+'[1]постачання'!L23</f>
        <v>55.04</v>
      </c>
      <c r="M24" s="80"/>
      <c r="N24" s="80"/>
    </row>
    <row r="25" spans="1:14" ht="33" customHeight="1">
      <c r="A25" s="74">
        <v>4</v>
      </c>
      <c r="B25" s="55" t="s">
        <v>27</v>
      </c>
      <c r="C25" s="56" t="s">
        <v>8</v>
      </c>
      <c r="D25" s="35">
        <v>2232.8</v>
      </c>
      <c r="E25" s="46">
        <v>2232.8</v>
      </c>
      <c r="F25" s="76">
        <v>1465.97</v>
      </c>
      <c r="G25" s="76">
        <v>140.64</v>
      </c>
      <c r="H25" s="76">
        <f>'[1]виробництво'!H24+'[1]транспорт.'!H24+'[1]постачання'!H24</f>
        <v>1439.44</v>
      </c>
      <c r="I25" s="76">
        <f>'[1]виробництво'!I24+'[1]транспорт.'!I24+'[1]постачання'!I24</f>
        <v>155.63</v>
      </c>
      <c r="J25" s="76">
        <f>'[1]виробництво'!J24+'[1]транспорт.'!J24+'[1]постачання'!J24-0.01</f>
        <v>109.12668000000001</v>
      </c>
      <c r="K25" s="76">
        <f>'[1]виробництво'!K24+'[1]транспорт.'!K24+'[1]постачання'!K24</f>
        <v>155.63</v>
      </c>
      <c r="L25" s="76">
        <f>'[1]виробництво'!L24+'[1]транспорт.'!L24+'[1]постачання'!L24</f>
        <v>155.63</v>
      </c>
      <c r="M25" s="80"/>
      <c r="N25" s="80"/>
    </row>
    <row r="26" spans="1:14" ht="15.75" customHeight="1">
      <c r="A26" s="74">
        <v>4.1</v>
      </c>
      <c r="B26" s="44" t="s">
        <v>28</v>
      </c>
      <c r="C26" s="52" t="s">
        <v>8</v>
      </c>
      <c r="D26" s="35">
        <v>174.34</v>
      </c>
      <c r="E26" s="46">
        <v>174.34</v>
      </c>
      <c r="F26" s="78">
        <v>239.01</v>
      </c>
      <c r="G26" s="78">
        <v>22.93</v>
      </c>
      <c r="H26" s="78">
        <f>'[1]виробництво'!H25+'[1]транспорт.'!H25+'[1]постачання'!H25</f>
        <v>154.84</v>
      </c>
      <c r="I26" s="78">
        <f>'[1]виробництво'!I25+'[1]транспорт.'!I25+'[1]постачання'!I25</f>
        <v>16.74</v>
      </c>
      <c r="J26" s="78">
        <f>'[1]виробництво'!J25+'[1]транспорт.'!J25+'[1]постачання'!J25</f>
        <v>11.748400000000002</v>
      </c>
      <c r="K26" s="78">
        <f>'[1]виробництво'!K25+'[1]транспорт.'!K25+'[1]постачання'!K25</f>
        <v>16.74</v>
      </c>
      <c r="L26" s="78">
        <f>'[1]виробництво'!L25+'[1]транспорт.'!L25+'[1]постачання'!L25</f>
        <v>16.74</v>
      </c>
      <c r="M26" s="80"/>
      <c r="N26" s="80"/>
    </row>
    <row r="27" spans="1:14" ht="15.75" customHeight="1">
      <c r="A27" s="74">
        <v>4.2</v>
      </c>
      <c r="B27" s="44" t="s">
        <v>20</v>
      </c>
      <c r="C27" s="52" t="s">
        <v>8</v>
      </c>
      <c r="D27" s="35">
        <v>1640.52</v>
      </c>
      <c r="E27" s="46">
        <v>1640.52</v>
      </c>
      <c r="F27" s="78">
        <v>862.69</v>
      </c>
      <c r="G27" s="78">
        <v>82.76</v>
      </c>
      <c r="H27" s="78">
        <f>'[1]виробництво'!H26+'[1]транспорт.'!H26+'[1]постачання'!H26</f>
        <v>941.3000000000001</v>
      </c>
      <c r="I27" s="78">
        <f>'[1]виробництво'!I26+'[1]транспорт.'!I26+'[1]постачання'!I26</f>
        <v>101.77</v>
      </c>
      <c r="J27" s="78">
        <f>'[1]виробництво'!J26+'[1]транспорт.'!J26+'[1]постачання'!J26-0.01</f>
        <v>71.34814</v>
      </c>
      <c r="K27" s="78">
        <f>'[1]виробництво'!K26+'[1]транспорт.'!K26+'[1]постачання'!K26</f>
        <v>101.77</v>
      </c>
      <c r="L27" s="78">
        <f>'[1]виробництво'!L26+'[1]транспорт.'!L26+'[1]постачання'!L26</f>
        <v>101.77</v>
      </c>
      <c r="M27" s="80"/>
      <c r="N27" s="80"/>
    </row>
    <row r="28" spans="1:14" ht="15.75" customHeight="1">
      <c r="A28" s="74">
        <v>4.3</v>
      </c>
      <c r="B28" s="44" t="s">
        <v>29</v>
      </c>
      <c r="C28" s="52" t="s">
        <v>8</v>
      </c>
      <c r="D28" s="35">
        <v>360.91</v>
      </c>
      <c r="E28" s="46">
        <v>360.91</v>
      </c>
      <c r="F28" s="78">
        <v>189.79</v>
      </c>
      <c r="G28" s="78">
        <v>18.21</v>
      </c>
      <c r="H28" s="78">
        <f>'[1]виробництво'!H27+'[1]транспорт.'!H27+'[1]постачання'!H27</f>
        <v>207.08</v>
      </c>
      <c r="I28" s="78">
        <f>'[1]виробництво'!I27+'[1]транспорт.'!I27+'[1]постачання'!I27</f>
        <v>22.39</v>
      </c>
      <c r="J28" s="78">
        <f>'[1]виробництво'!J27+'[1]транспорт.'!J27+'[1]постачання'!J27</f>
        <v>15.706940000000007</v>
      </c>
      <c r="K28" s="78">
        <f>'[1]виробництво'!K27+'[1]транспорт.'!K27+'[1]постачання'!K27</f>
        <v>22.39</v>
      </c>
      <c r="L28" s="78">
        <f>'[1]виробництво'!L27+'[1]транспорт.'!L27+'[1]постачання'!L27</f>
        <v>22.39</v>
      </c>
      <c r="M28" s="80"/>
      <c r="N28" s="80"/>
    </row>
    <row r="29" spans="1:14" ht="15.75" customHeight="1">
      <c r="A29" s="74">
        <v>4.4</v>
      </c>
      <c r="B29" s="44" t="s">
        <v>24</v>
      </c>
      <c r="C29" s="52" t="s">
        <v>8</v>
      </c>
      <c r="D29" s="35">
        <v>26.96</v>
      </c>
      <c r="E29" s="46">
        <v>26.96</v>
      </c>
      <c r="F29" s="78">
        <v>102.15</v>
      </c>
      <c r="G29" s="78">
        <v>9.8</v>
      </c>
      <c r="H29" s="78">
        <f>'[1]виробництво'!H28+'[1]транспорт.'!H28+'[1]постачання'!H28</f>
        <v>95.95</v>
      </c>
      <c r="I29" s="78">
        <f>'[1]виробництво'!I28+'[1]транспорт.'!I28+'[1]постачання'!I28</f>
        <v>10.380000000000003</v>
      </c>
      <c r="J29" s="78">
        <f>'[1]виробництво'!J28+'[1]транспорт.'!J28+'[1]постачання'!J28</f>
        <v>7.274399999999999</v>
      </c>
      <c r="K29" s="78">
        <f>'[1]виробництво'!K28+'[1]транспорт.'!K28+'[1]постачання'!K28</f>
        <v>10.380000000000003</v>
      </c>
      <c r="L29" s="78">
        <f>'[1]виробництво'!L28+'[1]транспорт.'!L28+'[1]постачання'!L28</f>
        <v>10.380000000000003</v>
      </c>
      <c r="M29" s="80"/>
      <c r="N29" s="80"/>
    </row>
    <row r="30" spans="1:14" ht="15.75" customHeight="1">
      <c r="A30" s="74">
        <v>4.5</v>
      </c>
      <c r="B30" s="44" t="s">
        <v>30</v>
      </c>
      <c r="C30" s="52" t="s">
        <v>8</v>
      </c>
      <c r="D30" s="35">
        <v>30.07</v>
      </c>
      <c r="E30" s="46">
        <v>30.07</v>
      </c>
      <c r="F30" s="78">
        <v>72.33</v>
      </c>
      <c r="G30" s="78">
        <v>6.94</v>
      </c>
      <c r="H30" s="78">
        <f>'[1]виробництво'!H29+'[1]транспорт.'!H29+'[1]постачання'!H29</f>
        <v>40.27</v>
      </c>
      <c r="I30" s="78">
        <f>'[1]виробництво'!I29+'[1]транспорт.'!I29+'[1]постачання'!I29</f>
        <v>4.3500000000000005</v>
      </c>
      <c r="J30" s="78">
        <f>'[1]виробництво'!J29+'[1]транспорт.'!J29+'[1]постачання'!J29</f>
        <v>3.0488</v>
      </c>
      <c r="K30" s="78">
        <f>'[1]виробництво'!K29+'[1]транспорт.'!K29+'[1]постачання'!K29</f>
        <v>4.3500000000000005</v>
      </c>
      <c r="L30" s="78">
        <f>'[1]виробництво'!L29+'[1]транспорт.'!L29+'[1]постачання'!L29</f>
        <v>4.3500000000000005</v>
      </c>
      <c r="M30" s="80"/>
      <c r="N30" s="80"/>
    </row>
    <row r="31" spans="1:14" ht="27.75" customHeight="1">
      <c r="A31" s="74">
        <v>5</v>
      </c>
      <c r="B31" s="55" t="s">
        <v>31</v>
      </c>
      <c r="C31" s="56" t="s">
        <v>8</v>
      </c>
      <c r="D31" s="35">
        <v>1469.73</v>
      </c>
      <c r="E31" s="46">
        <v>1469.73</v>
      </c>
      <c r="F31" s="76">
        <v>1469.48</v>
      </c>
      <c r="G31" s="76">
        <v>140.97</v>
      </c>
      <c r="H31" s="76">
        <f>'[1]виробництво'!H30+'[1]транспорт.'!H30+'[1]постачання'!H30</f>
        <v>1639.48</v>
      </c>
      <c r="I31" s="76">
        <f>I32+I33+I34+I35+I36</f>
        <v>177.31</v>
      </c>
      <c r="J31" s="76">
        <f>'[1]виробництво'!J30+'[1]транспорт.'!J30+'[1]постачання'!J30</f>
        <v>124.2835999999998</v>
      </c>
      <c r="K31" s="76">
        <f>'[1]виробництво'!K30+'[1]транспорт.'!K30+'[1]постачання'!K30+0.02</f>
        <v>177.30770931832927</v>
      </c>
      <c r="L31" s="76">
        <f>'[1]виробництво'!L30+'[1]транспорт.'!L30+'[1]постачання'!L30</f>
        <v>177.28999999999996</v>
      </c>
      <c r="M31" s="80"/>
      <c r="N31" s="80"/>
    </row>
    <row r="32" spans="1:14" ht="15.75" customHeight="1">
      <c r="A32" s="74">
        <v>5.1</v>
      </c>
      <c r="B32" s="44" t="s">
        <v>32</v>
      </c>
      <c r="C32" s="52" t="s">
        <v>8</v>
      </c>
      <c r="D32" s="35">
        <v>73.49</v>
      </c>
      <c r="E32" s="46">
        <v>73.49</v>
      </c>
      <c r="F32" s="78">
        <v>60.99</v>
      </c>
      <c r="G32" s="78">
        <v>5.85</v>
      </c>
      <c r="H32" s="78">
        <f>'[1]виробництво'!H31+'[1]транспорт.'!H31+'[1]постачання'!H31</f>
        <v>40.769999999999996</v>
      </c>
      <c r="I32" s="78">
        <f>'[1]виробництво'!I31+'[1]транспорт.'!I31+'[1]постачання'!I31+0.01</f>
        <v>4.42</v>
      </c>
      <c r="J32" s="78">
        <f>'[1]виробництво'!J31+'[1]транспорт.'!J31+'[1]постачання'!J31</f>
        <v>3.0910000000000006</v>
      </c>
      <c r="K32" s="78">
        <f>'[1]виробництво'!K31+'[1]транспорт.'!K31+'[1]постачання'!K31+0.01</f>
        <v>4.42</v>
      </c>
      <c r="L32" s="78">
        <f>'[1]виробництво'!L31+'[1]транспорт.'!L31+'[1]постачання'!L31</f>
        <v>4.41</v>
      </c>
      <c r="M32" s="80"/>
      <c r="N32" s="80"/>
    </row>
    <row r="33" spans="1:14" ht="15.75" customHeight="1">
      <c r="A33" s="74">
        <v>5.2</v>
      </c>
      <c r="B33" s="44" t="s">
        <v>20</v>
      </c>
      <c r="C33" s="52" t="s">
        <v>8</v>
      </c>
      <c r="D33" s="35">
        <v>1066.27</v>
      </c>
      <c r="E33" s="46">
        <v>1066.27</v>
      </c>
      <c r="F33" s="78">
        <v>1113.14</v>
      </c>
      <c r="G33" s="78">
        <v>106.78</v>
      </c>
      <c r="H33" s="78">
        <f>'[1]виробництво'!H32+'[1]транспорт.'!H32+'[1]постачання'!H32</f>
        <v>1238.88</v>
      </c>
      <c r="I33" s="78">
        <f>'[1]виробництво'!I32+'[1]транспорт.'!I32+'[1]постачання'!I32</f>
        <v>133.96</v>
      </c>
      <c r="J33" s="78">
        <f>'[1]виробництво'!J32+'[1]транспорт.'!J32+'[1]постачання'!J32</f>
        <v>93.91547999999979</v>
      </c>
      <c r="K33" s="78">
        <f>'[1]виробництво'!K32+'[1]транспорт.'!K32+'[1]постачання'!K32</f>
        <v>133.96</v>
      </c>
      <c r="L33" s="78">
        <f>'[1]виробництво'!L32+'[1]транспорт.'!L32+'[1]постачання'!L32</f>
        <v>133.96</v>
      </c>
      <c r="M33" s="80"/>
      <c r="N33" s="80"/>
    </row>
    <row r="34" spans="1:14" ht="15.75" customHeight="1">
      <c r="A34" s="74">
        <v>5.3</v>
      </c>
      <c r="B34" s="53" t="s">
        <v>22</v>
      </c>
      <c r="C34" s="52" t="s">
        <v>8</v>
      </c>
      <c r="D34" s="35">
        <v>234.58</v>
      </c>
      <c r="E34" s="46">
        <v>234.58</v>
      </c>
      <c r="F34" s="78">
        <v>244.89</v>
      </c>
      <c r="G34" s="78">
        <v>23.49</v>
      </c>
      <c r="H34" s="78">
        <f>'[1]виробництво'!H33+'[1]транспорт.'!H33+'[1]постачання'!H33</f>
        <v>272.55</v>
      </c>
      <c r="I34" s="78">
        <f>'[1]виробництво'!I33+'[1]транспорт.'!I33+'[1]постачання'!I33-0.01</f>
        <v>29.46</v>
      </c>
      <c r="J34" s="78">
        <f>'[1]виробництво'!J33+'[1]транспорт.'!J33+'[1]постачання'!J33</f>
        <v>20.667720000000024</v>
      </c>
      <c r="K34" s="78">
        <f>'[1]виробництво'!K33+'[1]транспорт.'!K33+'[1]постачання'!K33-0.01</f>
        <v>29.46</v>
      </c>
      <c r="L34" s="78">
        <f>'[1]виробництво'!L33+'[1]транспорт.'!L33+'[1]постачання'!L33</f>
        <v>29.470000000000002</v>
      </c>
      <c r="M34" s="80"/>
      <c r="N34" s="80"/>
    </row>
    <row r="35" spans="1:14" ht="15.75" customHeight="1">
      <c r="A35" s="74">
        <v>5.4</v>
      </c>
      <c r="B35" s="44" t="s">
        <v>24</v>
      </c>
      <c r="C35" s="52" t="s">
        <v>8</v>
      </c>
      <c r="D35" s="35">
        <v>2.58</v>
      </c>
      <c r="E35" s="46">
        <v>2.58</v>
      </c>
      <c r="F35" s="78">
        <v>3.28</v>
      </c>
      <c r="G35" s="78">
        <v>0.32</v>
      </c>
      <c r="H35" s="78">
        <f>'[1]виробництво'!H34+'[1]транспорт.'!H34+'[1]постачання'!H34</f>
        <v>3.82</v>
      </c>
      <c r="I35" s="78">
        <f>'[1]виробництво'!I34+'[1]транспорт.'!I34+'[1]постачання'!I34+0.01</f>
        <v>0.43000000000000005</v>
      </c>
      <c r="J35" s="78">
        <f>'[1]виробництво'!J34+'[1]транспорт.'!J34+'[1]постачання'!J34</f>
        <v>0.28480000000000005</v>
      </c>
      <c r="K35" s="78">
        <f>'[1]виробництво'!K34+'[1]транспорт.'!K34+'[1]постачання'!K34+0.01</f>
        <v>0.43000000000000005</v>
      </c>
      <c r="L35" s="78">
        <f>'[1]виробництво'!L34+'[1]транспорт.'!L34+'[1]постачання'!L34</f>
        <v>0.42000000000000004</v>
      </c>
      <c r="M35" s="80"/>
      <c r="N35" s="80"/>
    </row>
    <row r="36" spans="1:14" ht="15.75" customHeight="1">
      <c r="A36" s="74">
        <v>5.5</v>
      </c>
      <c r="B36" s="44" t="s">
        <v>33</v>
      </c>
      <c r="C36" s="52" t="s">
        <v>8</v>
      </c>
      <c r="D36" s="35">
        <v>92.81</v>
      </c>
      <c r="E36" s="46">
        <v>92.81</v>
      </c>
      <c r="F36" s="78">
        <v>47.18</v>
      </c>
      <c r="G36" s="78">
        <v>4.53</v>
      </c>
      <c r="H36" s="78">
        <f>'[1]виробництво'!H35+'[1]транспорт.'!H35+'[1]постачання'!H35</f>
        <v>83.46000000000001</v>
      </c>
      <c r="I36" s="78">
        <f>'[1]виробництво'!I35+'[1]транспорт.'!I35+'[1]постачання'!I35+0.01</f>
        <v>9.04</v>
      </c>
      <c r="J36" s="78">
        <f>'[1]виробництво'!J35+'[1]транспорт.'!J35+'[1]постачання'!J35</f>
        <v>6.324599999999987</v>
      </c>
      <c r="K36" s="78">
        <f>'[1]виробництво'!K35+'[1]транспорт.'!K35+'[1]постачання'!K35+0.01</f>
        <v>9.037709318329304</v>
      </c>
      <c r="L36" s="78">
        <f>'[1]виробництво'!L35+'[1]транспорт.'!L35+'[1]постачання'!L35</f>
        <v>9.03</v>
      </c>
      <c r="M36" s="80"/>
      <c r="N36" s="80"/>
    </row>
    <row r="37" spans="1:14" ht="15.75" customHeight="1">
      <c r="A37" s="74">
        <v>6</v>
      </c>
      <c r="B37" s="44" t="s">
        <v>34</v>
      </c>
      <c r="C37" s="52" t="s">
        <v>8</v>
      </c>
      <c r="D37" s="35">
        <v>0</v>
      </c>
      <c r="E37" s="46">
        <v>0</v>
      </c>
      <c r="F37" s="78">
        <v>344.89</v>
      </c>
      <c r="G37" s="78">
        <v>33.23</v>
      </c>
      <c r="H37" s="78">
        <f>'[1]виробництво'!H36+'[1]транспорт.'!H36+'[1]постачання'!H36</f>
        <v>1604.54</v>
      </c>
      <c r="I37" s="78">
        <f>'[1]виробництво'!I36+'[1]транспорт.'!I36+'[1]постачання'!I36</f>
        <v>173.45</v>
      </c>
      <c r="J37" s="78">
        <f>'[1]виробництво'!J36+'[1]транспорт.'!J36+'[1]постачання'!J36</f>
        <v>121.77</v>
      </c>
      <c r="K37" s="78">
        <f>'[1]виробництво'!K36+'[1]транспорт.'!K36+'[1]постачання'!K36</f>
        <v>173.45000000000002</v>
      </c>
      <c r="L37" s="78">
        <f>'[1]виробництво'!L36+'[1]транспорт.'!L36+'[1]постачання'!L36+0.01</f>
        <v>137.28</v>
      </c>
      <c r="M37" s="80"/>
      <c r="N37" s="80"/>
    </row>
    <row r="38" spans="1:14" ht="33" customHeight="1">
      <c r="A38" s="74">
        <v>7</v>
      </c>
      <c r="B38" s="44" t="s">
        <v>35</v>
      </c>
      <c r="C38" s="52" t="s">
        <v>8</v>
      </c>
      <c r="D38" s="58">
        <v>34888.21</v>
      </c>
      <c r="E38" s="46">
        <v>34888.21</v>
      </c>
      <c r="F38" s="78">
        <v>18031.85</v>
      </c>
      <c r="G38" s="78"/>
      <c r="H38" s="78">
        <f>'[1]виробництво'!H37+'[1]транспорт.'!H37+'[1]постачання'!H37</f>
        <v>41718.085</v>
      </c>
      <c r="I38" s="78"/>
      <c r="J38" s="78">
        <f>'[1]виробництво'!J37+'[1]транспорт.'!J37+'[1]постачання'!J37-0.01</f>
        <v>3165.7938799999993</v>
      </c>
      <c r="K38" s="78"/>
      <c r="L38" s="78">
        <f>'[1]виробництво'!L37+'[1]транспорт.'!L37+'[1]постачання'!L37</f>
        <v>3569.145</v>
      </c>
      <c r="M38" s="80"/>
      <c r="N38" s="80"/>
    </row>
    <row r="39" spans="1:14" ht="33" customHeight="1">
      <c r="A39" s="85">
        <v>8</v>
      </c>
      <c r="B39" s="55" t="s">
        <v>36</v>
      </c>
      <c r="C39" s="59" t="s">
        <v>4</v>
      </c>
      <c r="D39" s="86">
        <v>1519.8258361866926</v>
      </c>
      <c r="E39" s="87"/>
      <c r="F39" s="78">
        <v>0</v>
      </c>
      <c r="G39" s="78">
        <v>1729.55</v>
      </c>
      <c r="H39" s="78">
        <v>0</v>
      </c>
      <c r="I39" s="78">
        <f>I14+I37</f>
        <v>4510.709999999999</v>
      </c>
      <c r="J39" s="78">
        <v>0</v>
      </c>
      <c r="K39" s="78">
        <f>K14+K37</f>
        <v>4510.708716599276</v>
      </c>
      <c r="L39" s="78">
        <f>'[1]виробництво'!L38+'[1]транспорт.'!L38+'[1]постачання'!L38</f>
        <v>3569.145</v>
      </c>
      <c r="M39" s="80"/>
      <c r="N39" s="80"/>
    </row>
    <row r="40" ht="21.75" customHeight="1"/>
    <row r="41" spans="1:12" ht="15.75" customHeight="1">
      <c r="A41" s="88" t="s">
        <v>109</v>
      </c>
      <c r="B41" s="88"/>
      <c r="C41" s="88"/>
      <c r="D41" s="88"/>
      <c r="E41" s="23"/>
      <c r="F41" s="23"/>
      <c r="G41" s="23"/>
      <c r="H41" s="23"/>
      <c r="I41" s="23"/>
      <c r="J41" s="23"/>
      <c r="K41" s="23"/>
      <c r="L41" s="23"/>
    </row>
    <row r="42" spans="1:12" ht="15.75" customHeight="1">
      <c r="A42" s="88"/>
      <c r="B42" s="89"/>
      <c r="C42" s="90"/>
      <c r="D42" s="88"/>
      <c r="E42" s="23"/>
      <c r="F42" s="88"/>
      <c r="G42" s="23"/>
      <c r="H42" s="88"/>
      <c r="I42" s="23"/>
      <c r="J42" s="23"/>
      <c r="K42" s="23"/>
      <c r="L42" s="88" t="s">
        <v>70</v>
      </c>
    </row>
    <row r="43" spans="1:12" ht="15">
      <c r="A43" s="88"/>
      <c r="B43" s="88"/>
      <c r="C43" s="88"/>
      <c r="D43" s="88"/>
      <c r="E43" s="23"/>
      <c r="F43" s="23"/>
      <c r="G43" s="23"/>
      <c r="H43" s="23"/>
      <c r="I43" s="23"/>
      <c r="J43" s="23"/>
      <c r="K43" s="23"/>
      <c r="L43" s="23"/>
    </row>
    <row r="44" spans="1:10" ht="15">
      <c r="A44" s="183" t="s">
        <v>37</v>
      </c>
      <c r="B44" s="183"/>
      <c r="C44" s="183"/>
      <c r="D44" s="183"/>
      <c r="E44" s="2"/>
      <c r="F44" s="2"/>
      <c r="G44" s="2"/>
      <c r="H44" s="2"/>
      <c r="I44" s="2"/>
      <c r="J44" s="2"/>
    </row>
    <row r="45" spans="1:12" ht="15">
      <c r="A45" s="183" t="s">
        <v>113</v>
      </c>
      <c r="B45" s="183"/>
      <c r="C45" s="183"/>
      <c r="D45" s="183"/>
      <c r="E45" s="2"/>
      <c r="F45" s="2"/>
      <c r="G45" s="2"/>
      <c r="H45" s="2"/>
      <c r="I45" s="2"/>
      <c r="J45" s="2"/>
      <c r="L45" t="s">
        <v>104</v>
      </c>
    </row>
  </sheetData>
  <sheetProtection/>
  <mergeCells count="8">
    <mergeCell ref="A6:L6"/>
    <mergeCell ref="A8:A11"/>
    <mergeCell ref="B8:B11"/>
    <mergeCell ref="C8:C11"/>
    <mergeCell ref="F8:G10"/>
    <mergeCell ref="H8:I10"/>
    <mergeCell ref="J8:K10"/>
    <mergeCell ref="L8:L10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="118" zoomScaleNormal="118" zoomScalePageLayoutView="0" workbookViewId="0" topLeftCell="A40">
      <selection activeCell="G51" sqref="G51"/>
    </sheetView>
  </sheetViews>
  <sheetFormatPr defaultColWidth="9.140625" defaultRowHeight="15"/>
  <cols>
    <col min="1" max="1" width="5.7109375" style="0" customWidth="1"/>
    <col min="2" max="2" width="28.57421875" style="0" customWidth="1"/>
    <col min="3" max="3" width="9.7109375" style="0" customWidth="1"/>
    <col min="4" max="4" width="10.28125" style="0" hidden="1" customWidth="1"/>
    <col min="5" max="5" width="9.140625" style="0" hidden="1" customWidth="1"/>
    <col min="6" max="6" width="11.8515625" style="0" customWidth="1"/>
    <col min="7" max="7" width="10.8515625" style="0" customWidth="1"/>
    <col min="8" max="8" width="11.8515625" style="0" customWidth="1"/>
    <col min="9" max="9" width="11.140625" style="0" customWidth="1"/>
    <col min="10" max="10" width="10.7109375" style="0" customWidth="1"/>
    <col min="11" max="11" width="10.00390625" style="0" customWidth="1"/>
    <col min="12" max="12" width="10.8515625" style="0" customWidth="1"/>
  </cols>
  <sheetData>
    <row r="1" spans="10:12" ht="15.75" customHeight="1">
      <c r="J1" s="22" t="s">
        <v>38</v>
      </c>
      <c r="K1" s="1"/>
      <c r="L1" s="1"/>
    </row>
    <row r="2" spans="10:12" ht="15.75" customHeight="1">
      <c r="J2" s="182" t="s">
        <v>67</v>
      </c>
      <c r="K2" s="1"/>
      <c r="L2" s="1"/>
    </row>
    <row r="3" spans="10:12" ht="15.75" customHeight="1">
      <c r="J3" s="182" t="s">
        <v>68</v>
      </c>
      <c r="K3" s="1"/>
      <c r="L3" s="1"/>
    </row>
    <row r="4" ht="15.75" customHeight="1">
      <c r="J4" s="182" t="s">
        <v>66</v>
      </c>
    </row>
    <row r="5" ht="15.75" customHeight="1">
      <c r="J5" s="22"/>
    </row>
    <row r="6" ht="15.75" customHeight="1">
      <c r="J6" s="22"/>
    </row>
    <row r="7" spans="1:12" ht="15.75" customHeight="1">
      <c r="A7" s="146" t="s">
        <v>71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</row>
    <row r="8" ht="15.75" customHeight="1"/>
    <row r="9" spans="1:12" ht="18.75" customHeight="1">
      <c r="A9" s="147" t="s">
        <v>42</v>
      </c>
      <c r="B9" s="147" t="s">
        <v>2</v>
      </c>
      <c r="C9" s="147" t="s">
        <v>62</v>
      </c>
      <c r="D9" s="91"/>
      <c r="E9" s="91"/>
      <c r="F9" s="156" t="s">
        <v>1</v>
      </c>
      <c r="G9" s="157"/>
      <c r="H9" s="156" t="s">
        <v>63</v>
      </c>
      <c r="I9" s="157"/>
      <c r="J9" s="156" t="s">
        <v>64</v>
      </c>
      <c r="K9" s="157"/>
      <c r="L9" s="162" t="s">
        <v>65</v>
      </c>
    </row>
    <row r="10" spans="1:12" ht="18.75" customHeight="1">
      <c r="A10" s="148"/>
      <c r="B10" s="148"/>
      <c r="C10" s="148"/>
      <c r="D10" s="92"/>
      <c r="E10" s="93"/>
      <c r="F10" s="158"/>
      <c r="G10" s="159"/>
      <c r="H10" s="158"/>
      <c r="I10" s="159"/>
      <c r="J10" s="158"/>
      <c r="K10" s="159"/>
      <c r="L10" s="163"/>
    </row>
    <row r="11" spans="1:12" ht="18.75" customHeight="1">
      <c r="A11" s="148"/>
      <c r="B11" s="148"/>
      <c r="C11" s="148"/>
      <c r="D11" s="94"/>
      <c r="E11" s="94"/>
      <c r="F11" s="160"/>
      <c r="G11" s="161"/>
      <c r="H11" s="160"/>
      <c r="I11" s="161"/>
      <c r="J11" s="160"/>
      <c r="K11" s="161"/>
      <c r="L11" s="164"/>
    </row>
    <row r="12" spans="1:12" ht="40.5" customHeight="1">
      <c r="A12" s="149"/>
      <c r="B12" s="149"/>
      <c r="C12" s="149"/>
      <c r="D12" s="64"/>
      <c r="E12" s="64"/>
      <c r="F12" s="64" t="s">
        <v>3</v>
      </c>
      <c r="G12" s="65" t="s">
        <v>4</v>
      </c>
      <c r="H12" s="64" t="s">
        <v>3</v>
      </c>
      <c r="I12" s="65" t="s">
        <v>4</v>
      </c>
      <c r="J12" s="64" t="s">
        <v>3</v>
      </c>
      <c r="K12" s="65" t="s">
        <v>4</v>
      </c>
      <c r="L12" s="65" t="s">
        <v>4</v>
      </c>
    </row>
    <row r="13" spans="1:12" ht="15.75" customHeight="1">
      <c r="A13" s="66">
        <v>1</v>
      </c>
      <c r="B13" s="67">
        <v>2</v>
      </c>
      <c r="C13" s="68">
        <v>3</v>
      </c>
      <c r="D13" s="69">
        <v>4</v>
      </c>
      <c r="E13" s="70"/>
      <c r="F13" s="70">
        <v>4</v>
      </c>
      <c r="G13" s="70">
        <v>5</v>
      </c>
      <c r="H13" s="70">
        <v>6</v>
      </c>
      <c r="I13" s="70">
        <v>7</v>
      </c>
      <c r="J13" s="70">
        <v>8</v>
      </c>
      <c r="K13" s="70">
        <v>9</v>
      </c>
      <c r="L13" s="70">
        <v>10</v>
      </c>
    </row>
    <row r="14" spans="1:12" ht="15.75" customHeight="1">
      <c r="A14" s="71">
        <v>1</v>
      </c>
      <c r="B14" s="72" t="s">
        <v>5</v>
      </c>
      <c r="C14" s="34" t="s">
        <v>6</v>
      </c>
      <c r="D14" s="35">
        <v>22955.4</v>
      </c>
      <c r="E14" s="36"/>
      <c r="F14" s="14">
        <v>10023.772</v>
      </c>
      <c r="G14" s="14">
        <v>10023.772</v>
      </c>
      <c r="H14" s="14">
        <v>9248.692</v>
      </c>
      <c r="I14" s="14">
        <v>9248.692</v>
      </c>
      <c r="J14" s="14">
        <v>701.145</v>
      </c>
      <c r="K14" s="14">
        <v>701.145</v>
      </c>
      <c r="L14" s="37">
        <v>1</v>
      </c>
    </row>
    <row r="15" spans="1:12" ht="30" customHeight="1">
      <c r="A15" s="74">
        <v>2</v>
      </c>
      <c r="B15" s="39" t="s">
        <v>7</v>
      </c>
      <c r="C15" s="45" t="s">
        <v>8</v>
      </c>
      <c r="D15" s="58">
        <v>34888.21</v>
      </c>
      <c r="E15" s="46">
        <v>34888.21</v>
      </c>
      <c r="F15" s="82">
        <v>16085.24</v>
      </c>
      <c r="G15" s="82">
        <v>1542.8</v>
      </c>
      <c r="H15" s="82">
        <f>H16+H32+H26</f>
        <v>38761.525</v>
      </c>
      <c r="I15" s="82">
        <f>I16+I26+I32</f>
        <v>4191.0599999999995</v>
      </c>
      <c r="J15" s="82">
        <f>J16+J32+J26</f>
        <v>2941.4556</v>
      </c>
      <c r="K15" s="82">
        <f>K16+K26+K32</f>
        <v>4191.0599999999995</v>
      </c>
      <c r="L15" s="82">
        <f>L16+L26+L32</f>
        <v>3285.6749999999997</v>
      </c>
    </row>
    <row r="16" spans="1:12" ht="15.75" customHeight="1">
      <c r="A16" s="74">
        <v>3</v>
      </c>
      <c r="B16" s="55" t="s">
        <v>9</v>
      </c>
      <c r="C16" s="40" t="s">
        <v>8</v>
      </c>
      <c r="D16" s="57">
        <v>31185.68</v>
      </c>
      <c r="E16" s="42">
        <v>31185.68</v>
      </c>
      <c r="F16" s="82">
        <v>13413.97</v>
      </c>
      <c r="G16" s="82">
        <v>1286.55</v>
      </c>
      <c r="H16" s="82">
        <f>H17+H22+H23+H24+H25</f>
        <v>36047.235</v>
      </c>
      <c r="I16" s="82">
        <f>I17+I22+I23+I24+I25</f>
        <v>3897.5699999999997</v>
      </c>
      <c r="J16" s="82">
        <f>J17+J22+J23+J24+J25</f>
        <v>2735.6756</v>
      </c>
      <c r="K16" s="82">
        <f>K17+K22+K23+K24+K25</f>
        <v>3897.5699999999997</v>
      </c>
      <c r="L16" s="41">
        <f>L17+L22+L23+L24+L25</f>
        <v>2992.185</v>
      </c>
    </row>
    <row r="17" spans="1:12" ht="25.5" customHeight="1">
      <c r="A17" s="74">
        <v>3.1</v>
      </c>
      <c r="B17" s="44" t="s">
        <v>10</v>
      </c>
      <c r="C17" s="45" t="s">
        <v>8</v>
      </c>
      <c r="D17" s="35">
        <v>27491.35</v>
      </c>
      <c r="E17" s="46">
        <v>27491.35</v>
      </c>
      <c r="F17" s="75">
        <v>12233.89</v>
      </c>
      <c r="G17" s="75">
        <v>1173.36</v>
      </c>
      <c r="H17" s="75">
        <f>H18+H19+H20+H21</f>
        <v>25482.795000000002</v>
      </c>
      <c r="I17" s="75">
        <f>I18+I19+I20+I21</f>
        <v>2759.6</v>
      </c>
      <c r="J17" s="75">
        <f>J18+J19+J20+J21</f>
        <v>1937.8020000000001</v>
      </c>
      <c r="K17" s="75">
        <f>K18+K19+K20+K21</f>
        <v>2759.6</v>
      </c>
      <c r="L17" s="95">
        <f>L18+L19+L20+L21</f>
        <v>2364.295</v>
      </c>
    </row>
    <row r="18" spans="1:12" ht="18" customHeight="1">
      <c r="A18" s="74" t="s">
        <v>11</v>
      </c>
      <c r="B18" s="48" t="s">
        <v>12</v>
      </c>
      <c r="C18" s="45" t="s">
        <v>8</v>
      </c>
      <c r="D18" s="35">
        <v>25751.19</v>
      </c>
      <c r="E18" s="46">
        <v>25751.19</v>
      </c>
      <c r="F18" s="75">
        <v>11709.27</v>
      </c>
      <c r="G18" s="49">
        <v>1123.21</v>
      </c>
      <c r="H18" s="58">
        <f>'[1]в тариф на 2020-2021р'!K16</f>
        <v>24407.857</v>
      </c>
      <c r="I18" s="49">
        <f>ROUND(H18/H14*1000,2)+4.17</f>
        <v>2643.23</v>
      </c>
      <c r="J18" s="58">
        <f>'[1]в тариф на 2020-2021р'!L16</f>
        <v>1856.239</v>
      </c>
      <c r="K18" s="49">
        <v>2643.23</v>
      </c>
      <c r="L18" s="95">
        <f>'[1]в тариф на 2020-2021р'!M16</f>
        <v>2281.275</v>
      </c>
    </row>
    <row r="19" spans="1:12" ht="30.75" customHeight="1">
      <c r="A19" s="74" t="s">
        <v>13</v>
      </c>
      <c r="B19" s="51" t="s">
        <v>14</v>
      </c>
      <c r="C19" s="45" t="s">
        <v>8</v>
      </c>
      <c r="D19" s="35">
        <v>924.52</v>
      </c>
      <c r="E19" s="46">
        <v>924.52</v>
      </c>
      <c r="F19" s="75">
        <v>365.08</v>
      </c>
      <c r="G19" s="49">
        <v>34.85</v>
      </c>
      <c r="H19" s="58">
        <f>'[1]в тариф на 2020-2021р'!K17</f>
        <v>294.818</v>
      </c>
      <c r="I19" s="49">
        <f>ROUND(H19/H14*1000,2)+0.14</f>
        <v>32.019999999999996</v>
      </c>
      <c r="J19" s="58">
        <f>'[1]в тариф на 2020-2021р'!L17</f>
        <v>22.423</v>
      </c>
      <c r="K19" s="49">
        <v>32.02</v>
      </c>
      <c r="L19" s="95">
        <f>'[1]в тариф на 2020-2021р'!M17</f>
        <v>31.88</v>
      </c>
    </row>
    <row r="20" spans="1:12" ht="15.75" customHeight="1">
      <c r="A20" s="74" t="s">
        <v>15</v>
      </c>
      <c r="B20" s="51" t="s">
        <v>16</v>
      </c>
      <c r="C20" s="45" t="s">
        <v>8</v>
      </c>
      <c r="D20" s="35">
        <v>157.7</v>
      </c>
      <c r="E20" s="46">
        <v>157.7</v>
      </c>
      <c r="F20" s="75">
        <v>75.37</v>
      </c>
      <c r="G20" s="49">
        <v>7.23</v>
      </c>
      <c r="H20" s="58">
        <f>'[1]в тариф на 2020-2021р'!K18</f>
        <v>97.9</v>
      </c>
      <c r="I20" s="49">
        <f>ROUND(H20/H14*1000,2)-0.01</f>
        <v>10.58</v>
      </c>
      <c r="J20" s="58">
        <f>'[1]в тариф на 2020-2021р'!L18</f>
        <v>7.42</v>
      </c>
      <c r="K20" s="49">
        <f>ROUND(J20/J14*1000,2)</f>
        <v>10.58</v>
      </c>
      <c r="L20" s="95">
        <f>'[1]в тариф на 2020-2021р'!M18</f>
        <v>10.58</v>
      </c>
    </row>
    <row r="21" spans="1:12" ht="15.75" customHeight="1">
      <c r="A21" s="74" t="s">
        <v>17</v>
      </c>
      <c r="B21" s="51" t="s">
        <v>18</v>
      </c>
      <c r="C21" s="52" t="s">
        <v>8</v>
      </c>
      <c r="D21" s="35">
        <v>657.94</v>
      </c>
      <c r="E21" s="46">
        <v>657.94</v>
      </c>
      <c r="F21" s="75">
        <v>84.17</v>
      </c>
      <c r="G21" s="49">
        <v>8.07</v>
      </c>
      <c r="H21" s="58">
        <f>'[1]в тариф на 2020-2021р'!K19</f>
        <v>682.22</v>
      </c>
      <c r="I21" s="49">
        <f>ROUND(H21/H14*1000,2)+0.01</f>
        <v>73.77000000000001</v>
      </c>
      <c r="J21" s="58">
        <f>'[1]в тариф на 2020-2021р'!L19</f>
        <v>51.72</v>
      </c>
      <c r="K21" s="49">
        <f>ROUND(J21/J14*1000,2)</f>
        <v>73.77</v>
      </c>
      <c r="L21" s="95">
        <f>'[1]в тариф на 2020-2021р'!M19</f>
        <v>40.56</v>
      </c>
    </row>
    <row r="22" spans="1:12" ht="15.75" customHeight="1">
      <c r="A22" s="74" t="s">
        <v>19</v>
      </c>
      <c r="B22" s="44" t="s">
        <v>20</v>
      </c>
      <c r="C22" s="52" t="s">
        <v>8</v>
      </c>
      <c r="D22" s="35">
        <v>2644.33</v>
      </c>
      <c r="E22" s="46">
        <v>2644.33</v>
      </c>
      <c r="F22" s="75">
        <v>836.73</v>
      </c>
      <c r="G22" s="49">
        <v>80.26</v>
      </c>
      <c r="H22" s="58">
        <f>'[1]в тариф на 2020-2021р'!K20</f>
        <v>7682.75</v>
      </c>
      <c r="I22" s="49">
        <f>ROUND(H22/H14*1000,2)-4.31</f>
        <v>826.3800000000001</v>
      </c>
      <c r="J22" s="58">
        <f>'[1]в тариф на 2020-2021р'!L20</f>
        <v>579.41</v>
      </c>
      <c r="K22" s="49">
        <f>ROUND(J22/J14*1000,2)</f>
        <v>826.38</v>
      </c>
      <c r="L22" s="95">
        <f>'[1]в тариф на 2020-2021р'!M20</f>
        <v>456.57</v>
      </c>
    </row>
    <row r="23" spans="1:12" ht="15.75" customHeight="1">
      <c r="A23" s="74" t="s">
        <v>21</v>
      </c>
      <c r="B23" s="53" t="s">
        <v>22</v>
      </c>
      <c r="C23" s="52" t="s">
        <v>8</v>
      </c>
      <c r="D23" s="35">
        <v>581.75</v>
      </c>
      <c r="E23" s="46">
        <v>581.75</v>
      </c>
      <c r="F23" s="75">
        <v>184.08</v>
      </c>
      <c r="G23" s="49">
        <v>17.66</v>
      </c>
      <c r="H23" s="58">
        <f>'[1]в тариф на 2020-2021р'!K21</f>
        <v>1689.59</v>
      </c>
      <c r="I23" s="49">
        <f>ROUND(H23/H14*1000,2)</f>
        <v>182.68</v>
      </c>
      <c r="J23" s="58">
        <f>'[1]в тариф на 2020-2021р'!L21</f>
        <v>128.08359999999985</v>
      </c>
      <c r="K23" s="49">
        <f>ROUND(J23/J14*1000,2)</f>
        <v>182.68</v>
      </c>
      <c r="L23" s="95">
        <f>'[1]в тариф на 2020-2021р'!M21</f>
        <v>100.45</v>
      </c>
    </row>
    <row r="24" spans="1:12" ht="15.75" customHeight="1">
      <c r="A24" s="74" t="s">
        <v>23</v>
      </c>
      <c r="B24" s="44" t="s">
        <v>24</v>
      </c>
      <c r="C24" s="52" t="s">
        <v>8</v>
      </c>
      <c r="D24" s="35">
        <v>137.52</v>
      </c>
      <c r="E24" s="46">
        <v>137.52</v>
      </c>
      <c r="F24" s="75">
        <v>48.84</v>
      </c>
      <c r="G24" s="49">
        <v>4.68</v>
      </c>
      <c r="H24" s="58">
        <f>'[1]в тариф на 2020-2021р'!K22</f>
        <v>381.16</v>
      </c>
      <c r="I24" s="49">
        <f>ROUND(H24/H14*1000,2)+0.01</f>
        <v>41.22</v>
      </c>
      <c r="J24" s="58">
        <f>'[1]в тариф на 2020-2021р'!L22</f>
        <v>28.9</v>
      </c>
      <c r="K24" s="49">
        <f>ROUND(J24/J14*1000,2)</f>
        <v>41.22</v>
      </c>
      <c r="L24" s="95">
        <f>'[1]в тариф на 2020-2021р'!M22</f>
        <v>22.66</v>
      </c>
    </row>
    <row r="25" spans="1:12" ht="15.75" customHeight="1">
      <c r="A25" s="74" t="s">
        <v>25</v>
      </c>
      <c r="B25" s="44" t="s">
        <v>26</v>
      </c>
      <c r="C25" s="52" t="s">
        <v>8</v>
      </c>
      <c r="D25" s="35">
        <v>330.73</v>
      </c>
      <c r="E25" s="46">
        <v>330.73</v>
      </c>
      <c r="F25" s="75">
        <v>110.43</v>
      </c>
      <c r="G25" s="49">
        <v>10.59</v>
      </c>
      <c r="H25" s="58">
        <f>'[1]в тариф на 2020-2021р'!K23</f>
        <v>810.94</v>
      </c>
      <c r="I25" s="49">
        <f>ROUND(H25/H14*1000,2)+0.01</f>
        <v>87.69000000000001</v>
      </c>
      <c r="J25" s="58">
        <f>'[1]в тариф на 2020-2021р'!L23</f>
        <v>61.480000000000004</v>
      </c>
      <c r="K25" s="49">
        <f>ROUND(J25/J14*1000,2)</f>
        <v>87.69</v>
      </c>
      <c r="L25" s="95">
        <f>'[1]в тариф на 2020-2021р'!M23</f>
        <v>48.21</v>
      </c>
    </row>
    <row r="26" spans="1:12" ht="33" customHeight="1">
      <c r="A26" s="74">
        <v>4</v>
      </c>
      <c r="B26" s="55" t="s">
        <v>27</v>
      </c>
      <c r="C26" s="52" t="s">
        <v>8</v>
      </c>
      <c r="D26" s="35">
        <v>2232.8</v>
      </c>
      <c r="E26" s="46">
        <v>2232.8</v>
      </c>
      <c r="F26" s="82">
        <v>1334.04</v>
      </c>
      <c r="G26" s="76">
        <v>127.97</v>
      </c>
      <c r="H26" s="76">
        <f>H27+H28+H29+H30+H31</f>
        <v>1274.96</v>
      </c>
      <c r="I26" s="76">
        <f>I27+I28+I29+I30+I31</f>
        <v>137.85</v>
      </c>
      <c r="J26" s="41">
        <f>'[1]в тариф на 2020-2021р'!L24</f>
        <v>96.67</v>
      </c>
      <c r="K26" s="82">
        <f>K27+K28+K29+K30+K31</f>
        <v>137.85</v>
      </c>
      <c r="L26" s="96">
        <f>L27+L28+L29+L30+L31</f>
        <v>137.85</v>
      </c>
    </row>
    <row r="27" spans="1:12" ht="15.75" customHeight="1">
      <c r="A27" s="74">
        <v>4.1</v>
      </c>
      <c r="B27" s="44" t="s">
        <v>28</v>
      </c>
      <c r="C27" s="52" t="s">
        <v>8</v>
      </c>
      <c r="D27" s="35">
        <v>174.34</v>
      </c>
      <c r="E27" s="46">
        <v>174.34</v>
      </c>
      <c r="F27" s="75">
        <v>217.5</v>
      </c>
      <c r="G27" s="49">
        <v>20.86</v>
      </c>
      <c r="H27" s="58">
        <f>'[1]в тариф на 2020-2021р'!K25</f>
        <v>144.94</v>
      </c>
      <c r="I27" s="49">
        <f>ROUND(H27/H14*1000,2)</f>
        <v>15.67</v>
      </c>
      <c r="J27" s="58">
        <f>'[1]в тариф на 2020-2021р'!L25</f>
        <v>10.99</v>
      </c>
      <c r="K27" s="49">
        <f>ROUND(J27/J14*1000,2)</f>
        <v>15.67</v>
      </c>
      <c r="L27" s="95">
        <f>'[1]в тариф на 2020-2021р'!M25</f>
        <v>15.67</v>
      </c>
    </row>
    <row r="28" spans="1:12" ht="15.75" customHeight="1">
      <c r="A28" s="74">
        <v>4.2</v>
      </c>
      <c r="B28" s="44" t="s">
        <v>20</v>
      </c>
      <c r="C28" s="52" t="s">
        <v>8</v>
      </c>
      <c r="D28" s="35">
        <v>1640.52</v>
      </c>
      <c r="E28" s="46">
        <v>1640.52</v>
      </c>
      <c r="F28" s="75">
        <v>785.05</v>
      </c>
      <c r="G28" s="49">
        <v>75.31</v>
      </c>
      <c r="H28" s="58">
        <f>'[1]в тариф на 2020-2021р'!K26</f>
        <v>821.75</v>
      </c>
      <c r="I28" s="49">
        <f>ROUND(H28/H14*1000,2)</f>
        <v>88.85</v>
      </c>
      <c r="J28" s="58">
        <f>'[1]в тариф на 2020-2021р'!L26</f>
        <v>62.3</v>
      </c>
      <c r="K28" s="49">
        <f>ROUND(J28/J14*1000,2)</f>
        <v>88.85</v>
      </c>
      <c r="L28" s="95">
        <f>'[1]в тариф на 2020-2021р'!M26</f>
        <v>88.85</v>
      </c>
    </row>
    <row r="29" spans="1:12" ht="15.75" customHeight="1">
      <c r="A29" s="74">
        <v>4.3</v>
      </c>
      <c r="B29" s="44" t="s">
        <v>29</v>
      </c>
      <c r="C29" s="52" t="s">
        <v>8</v>
      </c>
      <c r="D29" s="35">
        <v>360.91</v>
      </c>
      <c r="E29" s="46">
        <v>360.91</v>
      </c>
      <c r="F29" s="75">
        <v>172.71</v>
      </c>
      <c r="G29" s="49">
        <v>16.57</v>
      </c>
      <c r="H29" s="58">
        <f>'[1]в тариф на 2020-2021р'!K27</f>
        <v>180.78</v>
      </c>
      <c r="I29" s="49">
        <f>ROUND(H29/H14*1000,2)</f>
        <v>19.55</v>
      </c>
      <c r="J29" s="58">
        <f>'[1]в тариф на 2020-2021р'!L27</f>
        <v>13.71</v>
      </c>
      <c r="K29" s="49">
        <f>ROUND(J29/J14*1000,2)</f>
        <v>19.55</v>
      </c>
      <c r="L29" s="95">
        <f>'[1]в тариф на 2020-2021р'!M27</f>
        <v>19.55</v>
      </c>
    </row>
    <row r="30" spans="1:12" ht="15.75" customHeight="1">
      <c r="A30" s="74">
        <v>4.4</v>
      </c>
      <c r="B30" s="44" t="s">
        <v>24</v>
      </c>
      <c r="C30" s="52" t="s">
        <v>8</v>
      </c>
      <c r="D30" s="35">
        <v>26.96</v>
      </c>
      <c r="E30" s="46">
        <v>26.96</v>
      </c>
      <c r="F30" s="75">
        <v>92.96</v>
      </c>
      <c r="G30" s="49">
        <v>8.92</v>
      </c>
      <c r="H30" s="58">
        <f>'[1]в тариф на 2020-2021р'!K28</f>
        <v>89.81</v>
      </c>
      <c r="I30" s="49">
        <f>ROUND(H30/H14*1000,2)</f>
        <v>9.71</v>
      </c>
      <c r="J30" s="58">
        <f>'[1]в тариф на 2020-2021р'!L28</f>
        <v>6.81</v>
      </c>
      <c r="K30" s="49">
        <f>ROUND(J30/J14*1000,2)</f>
        <v>9.71</v>
      </c>
      <c r="L30" s="95">
        <f>'[1]в тариф на 2020-2021р'!M28</f>
        <v>9.71</v>
      </c>
    </row>
    <row r="31" spans="1:12" ht="15.75" customHeight="1">
      <c r="A31" s="74">
        <v>4.5</v>
      </c>
      <c r="B31" s="44" t="s">
        <v>30</v>
      </c>
      <c r="C31" s="52" t="s">
        <v>8</v>
      </c>
      <c r="D31" s="35">
        <v>30.07</v>
      </c>
      <c r="E31" s="46">
        <v>30.07</v>
      </c>
      <c r="F31" s="75">
        <v>65.82</v>
      </c>
      <c r="G31" s="49">
        <v>6.31</v>
      </c>
      <c r="H31" s="58">
        <f>'[1]в тариф на 2020-2021р'!K29</f>
        <v>37.68</v>
      </c>
      <c r="I31" s="49">
        <f>ROUND(H31/H14*1000,2)</f>
        <v>4.07</v>
      </c>
      <c r="J31" s="58">
        <f>'[1]в тариф на 2020-2021р'!L29</f>
        <v>2.86</v>
      </c>
      <c r="K31" s="49">
        <f>ROUND(J31/J14*1000,2)-0.01</f>
        <v>4.07</v>
      </c>
      <c r="L31" s="95">
        <f>'[1]в тариф на 2020-2021р'!M29</f>
        <v>4.07</v>
      </c>
    </row>
    <row r="32" spans="1:12" ht="27.75" customHeight="1">
      <c r="A32" s="74">
        <v>5</v>
      </c>
      <c r="B32" s="55" t="s">
        <v>31</v>
      </c>
      <c r="C32" s="52" t="s">
        <v>8</v>
      </c>
      <c r="D32" s="35">
        <v>1469.73</v>
      </c>
      <c r="E32" s="46">
        <v>1469.73</v>
      </c>
      <c r="F32" s="82">
        <v>1337.23</v>
      </c>
      <c r="G32" s="76">
        <v>128.28</v>
      </c>
      <c r="H32" s="76">
        <f>H33+H34+H35+H36+H37</f>
        <v>1439.33</v>
      </c>
      <c r="I32" s="76">
        <f>I33+I34+I35+I36+I37</f>
        <v>155.63999999999996</v>
      </c>
      <c r="J32" s="41">
        <f>'[1]в тариф на 2020-2021р'!L30</f>
        <v>109.10999999999979</v>
      </c>
      <c r="K32" s="82">
        <f>K33+K34+K35+K36+K37</f>
        <v>155.63999999999996</v>
      </c>
      <c r="L32" s="96">
        <f>L33+L34+L35+L36+L37</f>
        <v>155.63999999999996</v>
      </c>
    </row>
    <row r="33" spans="1:12" ht="15.75" customHeight="1">
      <c r="A33" s="74">
        <v>5.1</v>
      </c>
      <c r="B33" s="44" t="s">
        <v>32</v>
      </c>
      <c r="C33" s="52" t="s">
        <v>8</v>
      </c>
      <c r="D33" s="35">
        <v>73.49</v>
      </c>
      <c r="E33" s="46">
        <v>73.49</v>
      </c>
      <c r="F33" s="75">
        <v>55.5</v>
      </c>
      <c r="G33" s="49">
        <v>5.32</v>
      </c>
      <c r="H33" s="58">
        <f>'[1]в тариф на 2020-2021р'!K31</f>
        <v>38.16</v>
      </c>
      <c r="I33" s="49">
        <f>ROUND(H33/H14*1000,2)</f>
        <v>4.13</v>
      </c>
      <c r="J33" s="58">
        <f>'[1]в тариф на 2020-2021р'!L31</f>
        <v>2.8900000000000006</v>
      </c>
      <c r="K33" s="49">
        <f>ROUND(J33/J14*1000,2)+0.01</f>
        <v>4.13</v>
      </c>
      <c r="L33" s="95">
        <f>'[1]в тариф на 2020-2021р'!M31</f>
        <v>4.13</v>
      </c>
    </row>
    <row r="34" spans="1:12" ht="15.75" customHeight="1">
      <c r="A34" s="74">
        <v>5.2</v>
      </c>
      <c r="B34" s="44" t="s">
        <v>20</v>
      </c>
      <c r="C34" s="52" t="s">
        <v>8</v>
      </c>
      <c r="D34" s="35">
        <v>1066.27</v>
      </c>
      <c r="E34" s="46">
        <v>1066.27</v>
      </c>
      <c r="F34" s="75">
        <v>1012.96</v>
      </c>
      <c r="G34" s="49">
        <v>97.17</v>
      </c>
      <c r="H34" s="58">
        <f>'[1]в тариф на 2020-2021р'!K32</f>
        <v>1081.54</v>
      </c>
      <c r="I34" s="49">
        <f>ROUND(H34/H14*1000,2)</f>
        <v>116.94</v>
      </c>
      <c r="J34" s="58">
        <f>'[1]в тариф на 2020-2021р'!L32</f>
        <v>81.98999999999978</v>
      </c>
      <c r="K34" s="49">
        <f>ROUND(J34/J14*1000,2)</f>
        <v>116.94</v>
      </c>
      <c r="L34" s="95">
        <f>'[1]в тариф на 2020-2021р'!M32</f>
        <v>116.94</v>
      </c>
    </row>
    <row r="35" spans="1:12" ht="15.75" customHeight="1">
      <c r="A35" s="74">
        <v>5.3</v>
      </c>
      <c r="B35" s="53" t="s">
        <v>22</v>
      </c>
      <c r="C35" s="52" t="s">
        <v>8</v>
      </c>
      <c r="D35" s="35">
        <v>234.58</v>
      </c>
      <c r="E35" s="46">
        <v>234.58</v>
      </c>
      <c r="F35" s="75">
        <v>222.85</v>
      </c>
      <c r="G35" s="49">
        <v>21.38</v>
      </c>
      <c r="H35" s="58">
        <f>'[1]в тариф на 2020-2021р'!K33</f>
        <v>237.94</v>
      </c>
      <c r="I35" s="49">
        <f>ROUND(H35/H14*1000,2)</f>
        <v>25.73</v>
      </c>
      <c r="J35" s="58">
        <f>'[1]в тариф на 2020-2021р'!L33</f>
        <v>18.04000000000002</v>
      </c>
      <c r="K35" s="49">
        <f>ROUND(J35/J14*1000,2)</f>
        <v>25.73</v>
      </c>
      <c r="L35" s="95">
        <f>'[1]в тариф на 2020-2021р'!M33</f>
        <v>25.73</v>
      </c>
    </row>
    <row r="36" spans="1:12" ht="15.75" customHeight="1">
      <c r="A36" s="74">
        <v>5.4</v>
      </c>
      <c r="B36" s="44" t="s">
        <v>24</v>
      </c>
      <c r="C36" s="52" t="s">
        <v>8</v>
      </c>
      <c r="D36" s="35">
        <v>2.58</v>
      </c>
      <c r="E36" s="46">
        <v>2.58</v>
      </c>
      <c r="F36" s="75">
        <v>2.99</v>
      </c>
      <c r="G36" s="49">
        <v>0.29</v>
      </c>
      <c r="H36" s="58">
        <f>'[1]в тариф на 2020-2021р'!K34</f>
        <v>3.57</v>
      </c>
      <c r="I36" s="49">
        <f>ROUND(H36/H14*1000,2)</f>
        <v>0.39</v>
      </c>
      <c r="J36" s="58">
        <f>'[1]в тариф на 2020-2021р'!L34</f>
        <v>0.27</v>
      </c>
      <c r="K36" s="49">
        <f>ROUND(J36/J14*1000,2)</f>
        <v>0.39</v>
      </c>
      <c r="L36" s="95">
        <f>'[1]в тариф на 2020-2021р'!M34</f>
        <v>0.39</v>
      </c>
    </row>
    <row r="37" spans="1:12" ht="15.75" customHeight="1">
      <c r="A37" s="74">
        <v>5.5</v>
      </c>
      <c r="B37" s="44" t="s">
        <v>33</v>
      </c>
      <c r="C37" s="52" t="s">
        <v>8</v>
      </c>
      <c r="D37" s="35">
        <v>92.81</v>
      </c>
      <c r="E37" s="46">
        <v>92.81</v>
      </c>
      <c r="F37" s="75">
        <v>42.93</v>
      </c>
      <c r="G37" s="49">
        <v>4.12</v>
      </c>
      <c r="H37" s="58">
        <f>'[1]в тариф на 2020-2021р'!K35</f>
        <v>78.12</v>
      </c>
      <c r="I37" s="49">
        <f>ROUND(H37/H14*1000,2)</f>
        <v>8.45</v>
      </c>
      <c r="J37" s="58">
        <f>'[1]в тариф на 2020-2021р'!L35</f>
        <v>5.9199999999999875</v>
      </c>
      <c r="K37" s="49">
        <f>ROUND(J37/J14*1000,2)+0.01</f>
        <v>8.45</v>
      </c>
      <c r="L37" s="95">
        <f>'[1]в тариф на 2020-2021р'!M35</f>
        <v>8.45</v>
      </c>
    </row>
    <row r="38" spans="1:12" ht="15.75" customHeight="1">
      <c r="A38" s="74">
        <v>6</v>
      </c>
      <c r="B38" s="44" t="s">
        <v>34</v>
      </c>
      <c r="C38" s="52" t="s">
        <v>8</v>
      </c>
      <c r="D38" s="35">
        <v>0</v>
      </c>
      <c r="E38" s="46">
        <v>0</v>
      </c>
      <c r="F38" s="75">
        <v>313.66</v>
      </c>
      <c r="G38" s="49">
        <v>30.24</v>
      </c>
      <c r="H38" s="58">
        <f>'[1]в тариф на 2020-2021р'!K36</f>
        <v>1550.46</v>
      </c>
      <c r="I38" s="49">
        <f>ROUND(H38/H14*1000,2)-0.03</f>
        <v>167.60999999999999</v>
      </c>
      <c r="J38" s="58">
        <f>'[1]в тариф на 2020-2021р'!L36</f>
        <v>117.66</v>
      </c>
      <c r="K38" s="49">
        <f>ROUND(J38/K14*1000,2)-0.2</f>
        <v>167.61</v>
      </c>
      <c r="L38" s="95">
        <f>'[1]в тариф на 2020-2021р'!M36</f>
        <v>131.43</v>
      </c>
    </row>
    <row r="39" spans="1:12" ht="33" customHeight="1">
      <c r="A39" s="74">
        <v>7</v>
      </c>
      <c r="B39" s="44" t="s">
        <v>39</v>
      </c>
      <c r="C39" s="52" t="s">
        <v>8</v>
      </c>
      <c r="D39" s="58">
        <v>34888.21</v>
      </c>
      <c r="E39" s="46">
        <v>34888.21</v>
      </c>
      <c r="F39" s="47">
        <v>16398.9</v>
      </c>
      <c r="G39" s="47"/>
      <c r="H39" s="47">
        <f>H32+H26+H16+H38</f>
        <v>40311.985</v>
      </c>
      <c r="I39" s="47"/>
      <c r="J39" s="47">
        <f>J32+J26+J16+J38</f>
        <v>3059.1155999999996</v>
      </c>
      <c r="K39" s="47"/>
      <c r="L39" s="47">
        <f>L32+L26+L16+L38</f>
        <v>3417.1049999999996</v>
      </c>
    </row>
    <row r="40" spans="1:12" ht="27" customHeight="1">
      <c r="A40" s="74">
        <v>8</v>
      </c>
      <c r="B40" s="55" t="s">
        <v>40</v>
      </c>
      <c r="C40" s="59" t="s">
        <v>4</v>
      </c>
      <c r="D40" s="41">
        <v>1519.8258361866926</v>
      </c>
      <c r="E40" s="57"/>
      <c r="F40" s="41"/>
      <c r="G40" s="60">
        <v>1573.07</v>
      </c>
      <c r="H40" s="60"/>
      <c r="I40" s="60">
        <f>H39/I14*1000</f>
        <v>4358.668771757131</v>
      </c>
      <c r="J40" s="60"/>
      <c r="K40" s="60">
        <f>K15+K38</f>
        <v>4358.669999999999</v>
      </c>
      <c r="L40" s="60">
        <f>L16+L26+L32+L38</f>
        <v>3417.1049999999996</v>
      </c>
    </row>
    <row r="41" ht="21.75" customHeight="1"/>
    <row r="42" spans="1:12" ht="15.75" customHeight="1">
      <c r="A42" s="88" t="s">
        <v>111</v>
      </c>
      <c r="B42" s="88"/>
      <c r="C42" s="88"/>
      <c r="D42" s="88"/>
      <c r="E42" s="23"/>
      <c r="F42" s="23"/>
      <c r="G42" s="23"/>
      <c r="H42" s="23"/>
      <c r="I42" s="23"/>
      <c r="J42" s="23"/>
      <c r="K42" s="23"/>
      <c r="L42" s="23"/>
    </row>
    <row r="43" spans="1:12" ht="15.75" customHeight="1">
      <c r="A43" s="88"/>
      <c r="B43" s="89"/>
      <c r="C43" s="90"/>
      <c r="D43" s="88"/>
      <c r="E43" s="23"/>
      <c r="F43" s="88"/>
      <c r="G43" s="23"/>
      <c r="H43" s="88"/>
      <c r="I43" s="23"/>
      <c r="J43" s="23"/>
      <c r="K43" s="23"/>
      <c r="L43" s="88" t="s">
        <v>70</v>
      </c>
    </row>
    <row r="44" spans="1:12" ht="15.75" customHeight="1">
      <c r="A44" s="88"/>
      <c r="B44" s="88"/>
      <c r="C44" s="88"/>
      <c r="D44" s="88"/>
      <c r="E44" s="23"/>
      <c r="F44" s="23"/>
      <c r="G44" s="23"/>
      <c r="H44" s="23"/>
      <c r="I44" s="23"/>
      <c r="J44" s="23"/>
      <c r="K44" s="23"/>
      <c r="L44" s="23"/>
    </row>
    <row r="45" spans="1:10" ht="15.75" customHeight="1">
      <c r="A45" s="183" t="s">
        <v>37</v>
      </c>
      <c r="B45" s="183"/>
      <c r="C45" s="183"/>
      <c r="D45" s="183"/>
      <c r="E45" s="2"/>
      <c r="F45" s="2"/>
      <c r="G45" s="2"/>
      <c r="H45" s="2"/>
      <c r="I45" s="2"/>
      <c r="J45" s="2"/>
    </row>
    <row r="46" spans="1:12" ht="15.75" customHeight="1">
      <c r="A46" s="183" t="s">
        <v>112</v>
      </c>
      <c r="B46" s="183"/>
      <c r="C46" s="183"/>
      <c r="D46" s="183"/>
      <c r="E46" s="2"/>
      <c r="F46" s="2"/>
      <c r="G46" s="2"/>
      <c r="H46" s="2"/>
      <c r="I46" s="2"/>
      <c r="J46" s="2"/>
      <c r="L46" t="s">
        <v>104</v>
      </c>
    </row>
    <row r="47" ht="15.75" customHeight="1"/>
    <row r="48" ht="15.75" customHeight="1"/>
    <row r="49" ht="15.75" customHeight="1"/>
  </sheetData>
  <sheetProtection/>
  <mergeCells count="8">
    <mergeCell ref="A7:L7"/>
    <mergeCell ref="A9:A12"/>
    <mergeCell ref="B9:B12"/>
    <mergeCell ref="C9:C12"/>
    <mergeCell ref="F9:G11"/>
    <mergeCell ref="H9:I11"/>
    <mergeCell ref="J9:K11"/>
    <mergeCell ref="L9:L11"/>
  </mergeCells>
  <printOptions/>
  <pageMargins left="0.92" right="0.43" top="0.75" bottom="0.75" header="0.3" footer="0.3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31">
      <selection activeCell="L46" sqref="L46"/>
    </sheetView>
  </sheetViews>
  <sheetFormatPr defaultColWidth="9.140625" defaultRowHeight="15"/>
  <cols>
    <col min="1" max="1" width="5.7109375" style="2" customWidth="1"/>
    <col min="2" max="2" width="28.57421875" style="2" customWidth="1"/>
    <col min="3" max="3" width="9.57421875" style="2" customWidth="1"/>
    <col min="4" max="4" width="10.28125" style="2" hidden="1" customWidth="1"/>
    <col min="5" max="5" width="9.7109375" style="2" hidden="1" customWidth="1"/>
    <col min="6" max="6" width="11.8515625" style="2" customWidth="1"/>
    <col min="7" max="7" width="10.8515625" style="2" customWidth="1"/>
    <col min="8" max="8" width="11.8515625" style="2" customWidth="1"/>
    <col min="9" max="9" width="11.7109375" style="2" customWidth="1"/>
    <col min="10" max="10" width="10.7109375" style="2" customWidth="1"/>
    <col min="11" max="11" width="10.00390625" style="2" customWidth="1"/>
    <col min="12" max="12" width="13.8515625" style="2" customWidth="1"/>
    <col min="13" max="16384" width="9.140625" style="2" customWidth="1"/>
  </cols>
  <sheetData>
    <row r="1" spans="10:12" ht="15.75" customHeight="1">
      <c r="J1" s="22" t="s">
        <v>56</v>
      </c>
      <c r="K1" s="24"/>
      <c r="L1" s="24"/>
    </row>
    <row r="2" spans="10:12" ht="15.75" customHeight="1">
      <c r="J2" s="182" t="s">
        <v>67</v>
      </c>
      <c r="K2" s="24"/>
      <c r="L2" s="24"/>
    </row>
    <row r="3" spans="10:12" ht="15.75" customHeight="1">
      <c r="J3" s="182" t="s">
        <v>68</v>
      </c>
      <c r="K3" s="24"/>
      <c r="L3" s="24"/>
    </row>
    <row r="4" ht="15.75" customHeight="1">
      <c r="J4" s="182" t="s">
        <v>66</v>
      </c>
    </row>
    <row r="5" ht="15.75" customHeight="1">
      <c r="J5" s="22"/>
    </row>
    <row r="6" ht="15.75" customHeight="1">
      <c r="J6" s="22"/>
    </row>
    <row r="7" ht="15.75" customHeight="1">
      <c r="J7" s="22"/>
    </row>
    <row r="8" spans="1:12" ht="15.75" customHeight="1">
      <c r="A8" s="165" t="s">
        <v>72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</row>
    <row r="9" ht="15.75" customHeight="1"/>
    <row r="10" spans="1:12" ht="18.75" customHeight="1">
      <c r="A10" s="166" t="s">
        <v>42</v>
      </c>
      <c r="B10" s="166" t="s">
        <v>2</v>
      </c>
      <c r="C10" s="166" t="s">
        <v>62</v>
      </c>
      <c r="D10" s="97"/>
      <c r="E10" s="97"/>
      <c r="F10" s="169" t="s">
        <v>1</v>
      </c>
      <c r="G10" s="151"/>
      <c r="H10" s="156" t="s">
        <v>63</v>
      </c>
      <c r="I10" s="157"/>
      <c r="J10" s="156" t="s">
        <v>64</v>
      </c>
      <c r="K10" s="157"/>
      <c r="L10" s="162" t="s">
        <v>65</v>
      </c>
    </row>
    <row r="11" spans="1:12" ht="18.75" customHeight="1">
      <c r="A11" s="167"/>
      <c r="B11" s="148"/>
      <c r="C11" s="148"/>
      <c r="D11" s="98"/>
      <c r="E11" s="99"/>
      <c r="F11" s="152"/>
      <c r="G11" s="153"/>
      <c r="H11" s="158"/>
      <c r="I11" s="159"/>
      <c r="J11" s="158"/>
      <c r="K11" s="159"/>
      <c r="L11" s="163"/>
    </row>
    <row r="12" spans="1:12" ht="18.75" customHeight="1">
      <c r="A12" s="167"/>
      <c r="B12" s="148"/>
      <c r="C12" s="148"/>
      <c r="D12" s="100"/>
      <c r="E12" s="100"/>
      <c r="F12" s="154"/>
      <c r="G12" s="155"/>
      <c r="H12" s="160"/>
      <c r="I12" s="161"/>
      <c r="J12" s="160"/>
      <c r="K12" s="161"/>
      <c r="L12" s="164"/>
    </row>
    <row r="13" spans="1:12" ht="40.5" customHeight="1">
      <c r="A13" s="168"/>
      <c r="B13" s="149"/>
      <c r="C13" s="149"/>
      <c r="D13" s="26"/>
      <c r="E13" s="26"/>
      <c r="F13" s="26" t="s">
        <v>3</v>
      </c>
      <c r="G13" s="27" t="s">
        <v>4</v>
      </c>
      <c r="H13" s="26" t="s">
        <v>3</v>
      </c>
      <c r="I13" s="27" t="s">
        <v>4</v>
      </c>
      <c r="J13" s="26" t="s">
        <v>3</v>
      </c>
      <c r="K13" s="27" t="s">
        <v>4</v>
      </c>
      <c r="L13" s="27" t="s">
        <v>4</v>
      </c>
    </row>
    <row r="14" spans="1:12" ht="15.75" customHeight="1">
      <c r="A14" s="28">
        <v>1</v>
      </c>
      <c r="B14" s="29">
        <v>2</v>
      </c>
      <c r="C14" s="30">
        <v>3</v>
      </c>
      <c r="D14" s="31">
        <v>4</v>
      </c>
      <c r="E14" s="32"/>
      <c r="F14" s="32">
        <v>4</v>
      </c>
      <c r="G14" s="32">
        <v>5</v>
      </c>
      <c r="H14" s="32">
        <v>6</v>
      </c>
      <c r="I14" s="32">
        <v>7</v>
      </c>
      <c r="J14" s="32">
        <v>8</v>
      </c>
      <c r="K14" s="32">
        <v>9</v>
      </c>
      <c r="L14" s="32">
        <v>10</v>
      </c>
    </row>
    <row r="15" spans="1:12" ht="15.75" customHeight="1">
      <c r="A15" s="25">
        <v>1</v>
      </c>
      <c r="B15" s="33" t="s">
        <v>5</v>
      </c>
      <c r="C15" s="34" t="s">
        <v>6</v>
      </c>
      <c r="D15" s="35">
        <v>22955.4</v>
      </c>
      <c r="E15" s="36"/>
      <c r="F15" s="14">
        <v>10023.772</v>
      </c>
      <c r="G15" s="14">
        <v>10023.772</v>
      </c>
      <c r="H15" s="14">
        <v>9248.692</v>
      </c>
      <c r="I15" s="14">
        <v>9248.692</v>
      </c>
      <c r="J15" s="14">
        <v>701.145</v>
      </c>
      <c r="K15" s="14">
        <v>701.145</v>
      </c>
      <c r="L15" s="37">
        <v>1</v>
      </c>
    </row>
    <row r="16" spans="1:12" ht="29.25" customHeight="1">
      <c r="A16" s="38">
        <v>2</v>
      </c>
      <c r="B16" s="39" t="s">
        <v>7</v>
      </c>
      <c r="C16" s="40" t="s">
        <v>8</v>
      </c>
      <c r="D16" s="41">
        <v>34888.21</v>
      </c>
      <c r="E16" s="42">
        <v>34888.21</v>
      </c>
      <c r="F16" s="43">
        <v>913.79</v>
      </c>
      <c r="G16" s="43">
        <v>87.51</v>
      </c>
      <c r="H16" s="43">
        <f>H17+H27+H33</f>
        <v>1013.8299999999999</v>
      </c>
      <c r="I16" s="43">
        <f>I17+I27+I33</f>
        <v>109.63000000000001</v>
      </c>
      <c r="J16" s="43">
        <f>J17+J27+J33</f>
        <v>76.94099999999986</v>
      </c>
      <c r="K16" s="43">
        <f>K17+K27+K33</f>
        <v>109.63000000000001</v>
      </c>
      <c r="L16" s="43">
        <f>L17+L27+L33</f>
        <v>109.61999999999999</v>
      </c>
    </row>
    <row r="17" spans="1:12" ht="15.75" customHeight="1">
      <c r="A17" s="38">
        <v>3</v>
      </c>
      <c r="B17" s="44" t="s">
        <v>9</v>
      </c>
      <c r="C17" s="45" t="s">
        <v>8</v>
      </c>
      <c r="D17" s="35">
        <v>31185.68</v>
      </c>
      <c r="E17" s="46">
        <v>31185.68</v>
      </c>
      <c r="F17" s="47">
        <v>767.01</v>
      </c>
      <c r="G17" s="47">
        <v>73.41</v>
      </c>
      <c r="H17" s="47">
        <f>H18+H23+H24+H25+H26</f>
        <v>795.9</v>
      </c>
      <c r="I17" s="47">
        <f>I18+I23+I24+I25+I26</f>
        <v>86.06</v>
      </c>
      <c r="J17" s="47">
        <f>J18+J23+J24+J25+J26</f>
        <v>60.41799999999988</v>
      </c>
      <c r="K17" s="47">
        <f>K18+K23+K24+K25+K26</f>
        <v>86.06</v>
      </c>
      <c r="L17" s="47">
        <f>L18+L23+L24+L25+L26</f>
        <v>86.04999999999998</v>
      </c>
    </row>
    <row r="18" spans="1:12" ht="25.5" customHeight="1">
      <c r="A18" s="38">
        <v>3.1</v>
      </c>
      <c r="B18" s="44" t="s">
        <v>10</v>
      </c>
      <c r="C18" s="45" t="s">
        <v>8</v>
      </c>
      <c r="D18" s="35">
        <v>27491.35</v>
      </c>
      <c r="E18" s="46">
        <v>27491.35</v>
      </c>
      <c r="F18" s="47">
        <v>384.75</v>
      </c>
      <c r="G18" s="47">
        <v>36.74</v>
      </c>
      <c r="H18" s="47">
        <f>H19+H20+H21+H22</f>
        <v>318.76</v>
      </c>
      <c r="I18" s="47">
        <f>I19+I20+I21+I22</f>
        <v>34.47</v>
      </c>
      <c r="J18" s="47">
        <f>J19+J20+J21+J22</f>
        <v>24.239999999999974</v>
      </c>
      <c r="K18" s="47">
        <f>K19+K20+K21+K22</f>
        <v>34.47</v>
      </c>
      <c r="L18" s="47">
        <f>L19+L20+L21+L22</f>
        <v>34.459999999999994</v>
      </c>
    </row>
    <row r="19" spans="1:12" ht="18" customHeight="1">
      <c r="A19" s="38" t="s">
        <v>11</v>
      </c>
      <c r="B19" s="48" t="s">
        <v>12</v>
      </c>
      <c r="C19" s="45" t="s">
        <v>8</v>
      </c>
      <c r="D19" s="35">
        <v>25751.19</v>
      </c>
      <c r="E19" s="46">
        <v>25751.19</v>
      </c>
      <c r="F19" s="47">
        <f>'[1]в тариф на 2020-2021р'!O16</f>
        <v>0</v>
      </c>
      <c r="G19" s="49">
        <f>F19/G15*1000</f>
        <v>0</v>
      </c>
      <c r="H19" s="47">
        <f>'[1]в тариф на 2020-2021р'!P16</f>
        <v>0</v>
      </c>
      <c r="I19" s="49">
        <f>H19/H15*1000</f>
        <v>0</v>
      </c>
      <c r="J19" s="47">
        <f>'[1]в тариф на 2020-2021р'!Q16</f>
        <v>0</v>
      </c>
      <c r="K19" s="37">
        <v>0</v>
      </c>
      <c r="L19" s="50">
        <f>'[1]в тариф на 2020-2021р'!R16</f>
        <v>0</v>
      </c>
    </row>
    <row r="20" spans="1:12" ht="27.75" customHeight="1">
      <c r="A20" s="38" t="s">
        <v>13</v>
      </c>
      <c r="B20" s="51" t="s">
        <v>14</v>
      </c>
      <c r="C20" s="45" t="s">
        <v>8</v>
      </c>
      <c r="D20" s="35">
        <v>924.52</v>
      </c>
      <c r="E20" s="46">
        <v>924.52</v>
      </c>
      <c r="F20" s="47">
        <v>365.08</v>
      </c>
      <c r="G20" s="49">
        <v>34.85</v>
      </c>
      <c r="H20" s="47">
        <f>'[1]в тариф на 2020-2021р'!P17</f>
        <v>294.82</v>
      </c>
      <c r="I20" s="49">
        <f>ROUND(H20/I15*1000,2)</f>
        <v>31.88</v>
      </c>
      <c r="J20" s="47">
        <f>'[1]в тариф на 2020-2021р'!Q17</f>
        <v>22.42</v>
      </c>
      <c r="K20" s="49">
        <v>31.88</v>
      </c>
      <c r="L20" s="50">
        <f>'[1]в тариф на 2020-2021р'!R17-0.01</f>
        <v>31.869999999999997</v>
      </c>
    </row>
    <row r="21" spans="1:12" ht="15.75" customHeight="1">
      <c r="A21" s="38" t="s">
        <v>15</v>
      </c>
      <c r="B21" s="51" t="s">
        <v>16</v>
      </c>
      <c r="C21" s="45" t="s">
        <v>8</v>
      </c>
      <c r="D21" s="35">
        <v>157.7</v>
      </c>
      <c r="E21" s="46">
        <v>157.7</v>
      </c>
      <c r="F21" s="47">
        <f>'[1]в тариф на 2020-2021р'!O18</f>
        <v>0</v>
      </c>
      <c r="G21" s="49">
        <f>ROUND(F21/G15*1000,2)</f>
        <v>0</v>
      </c>
      <c r="H21" s="47">
        <f>'[1]в тариф на 2020-2021р'!P18</f>
        <v>0</v>
      </c>
      <c r="I21" s="49">
        <f>ROUND(H21/I15*1000,2)</f>
        <v>0</v>
      </c>
      <c r="J21" s="47">
        <f>'[1]в тариф на 2020-2021р'!Q18</f>
        <v>0</v>
      </c>
      <c r="K21" s="49">
        <f>ROUND(J21/K15*1000,2)</f>
        <v>0</v>
      </c>
      <c r="L21" s="50">
        <f>'[1]в тариф на 2020-2021р'!R18</f>
        <v>0</v>
      </c>
    </row>
    <row r="22" spans="1:12" ht="15.75" customHeight="1">
      <c r="A22" s="38" t="s">
        <v>17</v>
      </c>
      <c r="B22" s="51" t="s">
        <v>18</v>
      </c>
      <c r="C22" s="52" t="s">
        <v>8</v>
      </c>
      <c r="D22" s="35">
        <v>657.94</v>
      </c>
      <c r="E22" s="46">
        <v>657.94</v>
      </c>
      <c r="F22" s="47">
        <v>19.67</v>
      </c>
      <c r="G22" s="49">
        <v>1.89</v>
      </c>
      <c r="H22" s="47">
        <f>'[1]в тариф на 2020-2021р'!P19</f>
        <v>23.94</v>
      </c>
      <c r="I22" s="49">
        <f>ROUND(H22/I15*1000,2)</f>
        <v>2.59</v>
      </c>
      <c r="J22" s="47">
        <f>'[1]в тариф на 2020-2021р'!Q19</f>
        <v>1.8199999999999719</v>
      </c>
      <c r="K22" s="49">
        <f>ROUND(J22/J15*1000,2)-0.01</f>
        <v>2.5900000000000003</v>
      </c>
      <c r="L22" s="50">
        <f>'[1]в тариф на 2020-2021р'!R19</f>
        <v>2.59</v>
      </c>
    </row>
    <row r="23" spans="1:12" ht="15.75" customHeight="1">
      <c r="A23" s="38" t="s">
        <v>19</v>
      </c>
      <c r="B23" s="44" t="s">
        <v>20</v>
      </c>
      <c r="C23" s="52" t="s">
        <v>8</v>
      </c>
      <c r="D23" s="35">
        <v>2644.33</v>
      </c>
      <c r="E23" s="46">
        <v>2644.33</v>
      </c>
      <c r="F23" s="47">
        <v>277.66</v>
      </c>
      <c r="G23" s="49">
        <v>26.63</v>
      </c>
      <c r="H23" s="47">
        <f>'[1]в тариф на 2020-2021р'!P20</f>
        <v>363.21</v>
      </c>
      <c r="I23" s="49">
        <f>ROUND(H23/I15*1000,2)</f>
        <v>39.27</v>
      </c>
      <c r="J23" s="47">
        <f>'[1]в тариф на 2020-2021р'!Q20</f>
        <v>27.54000000000002</v>
      </c>
      <c r="K23" s="49">
        <f>ROUND(J23/K15*1000,2)-0.01</f>
        <v>39.27</v>
      </c>
      <c r="L23" s="50">
        <f>'[1]в тариф на 2020-2021р'!R20</f>
        <v>39.27</v>
      </c>
    </row>
    <row r="24" spans="1:12" ht="15.75" customHeight="1">
      <c r="A24" s="38" t="s">
        <v>21</v>
      </c>
      <c r="B24" s="53" t="s">
        <v>22</v>
      </c>
      <c r="C24" s="52" t="s">
        <v>8</v>
      </c>
      <c r="D24" s="35">
        <v>581.75</v>
      </c>
      <c r="E24" s="46">
        <v>581.75</v>
      </c>
      <c r="F24" s="47">
        <v>61.09</v>
      </c>
      <c r="G24" s="49">
        <v>5.86</v>
      </c>
      <c r="H24" s="47">
        <f>'[1]в тариф на 2020-2021р'!P21</f>
        <v>79.91</v>
      </c>
      <c r="I24" s="49">
        <f>ROUND(H24/I15*1000,2)</f>
        <v>8.64</v>
      </c>
      <c r="J24" s="47">
        <f>'[1]в тариф на 2020-2021р'!Q21</f>
        <v>6.057999999999993</v>
      </c>
      <c r="K24" s="49">
        <f>ROUND(J24/K15*1000,2)</f>
        <v>8.64</v>
      </c>
      <c r="L24" s="50">
        <f>'[1]в тариф на 2020-2021р'!R21</f>
        <v>8.64</v>
      </c>
    </row>
    <row r="25" spans="1:12" ht="15.75" customHeight="1">
      <c r="A25" s="38" t="s">
        <v>23</v>
      </c>
      <c r="B25" s="44" t="s">
        <v>24</v>
      </c>
      <c r="C25" s="52" t="s">
        <v>8</v>
      </c>
      <c r="D25" s="35">
        <v>137.52</v>
      </c>
      <c r="E25" s="46">
        <v>137.52</v>
      </c>
      <c r="F25" s="47">
        <v>17.7</v>
      </c>
      <c r="G25" s="49">
        <v>1.7</v>
      </c>
      <c r="H25" s="47">
        <f>'[1]в тариф на 2020-2021р'!P22</f>
        <v>5.56</v>
      </c>
      <c r="I25" s="49">
        <f>ROUND(H25/I15*1000,2)</f>
        <v>0.6</v>
      </c>
      <c r="J25" s="47">
        <f>'[1]в тариф на 2020-2021р'!Q22</f>
        <v>0.41999999999999993</v>
      </c>
      <c r="K25" s="49">
        <f>ROUND(J25/K15*1000,2)</f>
        <v>0.6</v>
      </c>
      <c r="L25" s="50">
        <f>'[1]в тариф на 2020-2021р'!R22</f>
        <v>0.6</v>
      </c>
    </row>
    <row r="26" spans="1:12" ht="15.75" customHeight="1">
      <c r="A26" s="38" t="s">
        <v>25</v>
      </c>
      <c r="B26" s="44" t="s">
        <v>26</v>
      </c>
      <c r="C26" s="52" t="s">
        <v>8</v>
      </c>
      <c r="D26" s="35">
        <v>330.73</v>
      </c>
      <c r="E26" s="46">
        <v>330.73</v>
      </c>
      <c r="F26" s="47">
        <v>25.81</v>
      </c>
      <c r="G26" s="49">
        <v>2.48</v>
      </c>
      <c r="H26" s="47">
        <f>'[1]в тариф на 2020-2021р'!P23</f>
        <v>28.46</v>
      </c>
      <c r="I26" s="49">
        <f>ROUND(H26/I15*1000,2)</f>
        <v>3.08</v>
      </c>
      <c r="J26" s="47">
        <f>'[1]в тариф на 2020-2021р'!Q23</f>
        <v>2.1599999999998936</v>
      </c>
      <c r="K26" s="49">
        <f>ROUND(J26/J15*1000,2)</f>
        <v>3.08</v>
      </c>
      <c r="L26" s="50">
        <f>'[1]в тариф на 2020-2021р'!R23</f>
        <v>3.08</v>
      </c>
    </row>
    <row r="27" spans="1:12" ht="33" customHeight="1">
      <c r="A27" s="54">
        <v>4</v>
      </c>
      <c r="B27" s="55" t="s">
        <v>27</v>
      </c>
      <c r="C27" s="56" t="s">
        <v>8</v>
      </c>
      <c r="D27" s="57">
        <v>2232.8</v>
      </c>
      <c r="E27" s="42">
        <v>2232.8</v>
      </c>
      <c r="F27" s="43">
        <v>73.31</v>
      </c>
      <c r="G27" s="43">
        <v>7.05</v>
      </c>
      <c r="H27" s="43">
        <f>H28+H29+H30+H31+H32</f>
        <v>98.94</v>
      </c>
      <c r="I27" s="43">
        <f>I28+I29+I30+I31+I32</f>
        <v>10.7</v>
      </c>
      <c r="J27" s="43">
        <f>J28+J29+J30+J31+J32</f>
        <v>7.503000000000004</v>
      </c>
      <c r="K27" s="43">
        <f>K28+K29+K30+K31+K32</f>
        <v>10.7</v>
      </c>
      <c r="L27" s="43">
        <f>L28+L29+L30+L31+L32</f>
        <v>10.7</v>
      </c>
    </row>
    <row r="28" spans="1:12" ht="15.75" customHeight="1">
      <c r="A28" s="38">
        <v>4.1</v>
      </c>
      <c r="B28" s="44" t="s">
        <v>28</v>
      </c>
      <c r="C28" s="52" t="s">
        <v>8</v>
      </c>
      <c r="D28" s="35">
        <v>174.34</v>
      </c>
      <c r="E28" s="46">
        <v>174.34</v>
      </c>
      <c r="F28" s="47">
        <v>11.95</v>
      </c>
      <c r="G28" s="49">
        <v>1.16</v>
      </c>
      <c r="H28" s="47">
        <f>'[1]в тариф на 2020-2021р'!P25</f>
        <v>6.81</v>
      </c>
      <c r="I28" s="49">
        <f>ROUND(H28/I15*1000,2)</f>
        <v>0.74</v>
      </c>
      <c r="J28" s="47">
        <f>'[1]в тариф на 2020-2021р'!Q25</f>
        <v>0.5200000000000014</v>
      </c>
      <c r="K28" s="49">
        <f>ROUND(J28/K15*1000,2)</f>
        <v>0.74</v>
      </c>
      <c r="L28" s="50">
        <f>'[1]в тариф на 2020-2021р'!R25</f>
        <v>0.74</v>
      </c>
    </row>
    <row r="29" spans="1:12" ht="15.75" customHeight="1">
      <c r="A29" s="38">
        <v>4.2</v>
      </c>
      <c r="B29" s="44" t="s">
        <v>20</v>
      </c>
      <c r="C29" s="52" t="s">
        <v>8</v>
      </c>
      <c r="D29" s="35">
        <v>1640.52</v>
      </c>
      <c r="E29" s="46">
        <v>1640.52</v>
      </c>
      <c r="F29" s="47">
        <v>43.14</v>
      </c>
      <c r="G29" s="49">
        <v>4.14</v>
      </c>
      <c r="H29" s="47">
        <f>'[1]в тариф на 2020-2021р'!P26</f>
        <v>70.6</v>
      </c>
      <c r="I29" s="49">
        <f>ROUND(H29/I15*1000,2)</f>
        <v>7.63</v>
      </c>
      <c r="J29" s="47">
        <f>'[1]в тариф на 2020-2021р'!Q26</f>
        <v>5.3515000000000015</v>
      </c>
      <c r="K29" s="49">
        <f>ROUND(J29/K15*1000,2)</f>
        <v>7.63</v>
      </c>
      <c r="L29" s="50">
        <f>'[1]в тариф на 2020-2021р'!R26</f>
        <v>7.63</v>
      </c>
    </row>
    <row r="30" spans="1:12" ht="15.75" customHeight="1">
      <c r="A30" s="38">
        <v>4.3</v>
      </c>
      <c r="B30" s="44" t="s">
        <v>29</v>
      </c>
      <c r="C30" s="52" t="s">
        <v>8</v>
      </c>
      <c r="D30" s="35">
        <v>360.91</v>
      </c>
      <c r="E30" s="46">
        <v>360.91</v>
      </c>
      <c r="F30" s="47">
        <v>9.49</v>
      </c>
      <c r="G30" s="49">
        <v>0.91</v>
      </c>
      <c r="H30" s="47">
        <f>'[1]в тариф на 2020-2021р'!P27</f>
        <v>15.53</v>
      </c>
      <c r="I30" s="49">
        <f>ROUND(H30/I15*1000,2)</f>
        <v>1.68</v>
      </c>
      <c r="J30" s="47">
        <f>'[1]в тариф на 2020-2021р'!Q27</f>
        <v>1.1815000000000015</v>
      </c>
      <c r="K30" s="49">
        <f>ROUND(J30/K15*1000,2)-0.01</f>
        <v>1.68</v>
      </c>
      <c r="L30" s="50">
        <f>'[1]в тариф на 2020-2021р'!R27</f>
        <v>1.68</v>
      </c>
    </row>
    <row r="31" spans="1:12" ht="15.75" customHeight="1">
      <c r="A31" s="38">
        <v>4.4</v>
      </c>
      <c r="B31" s="44" t="s">
        <v>24</v>
      </c>
      <c r="C31" s="52" t="s">
        <v>8</v>
      </c>
      <c r="D31" s="35">
        <v>26.96</v>
      </c>
      <c r="E31" s="46">
        <v>26.96</v>
      </c>
      <c r="F31" s="47">
        <v>5.11</v>
      </c>
      <c r="G31" s="49">
        <v>0.49</v>
      </c>
      <c r="H31" s="47">
        <f>'[1]в тариф на 2020-2021р'!P28</f>
        <v>4.22</v>
      </c>
      <c r="I31" s="49">
        <f>ROUND(H31/I15*1000,2)</f>
        <v>0.46</v>
      </c>
      <c r="J31" s="47">
        <f>'[1]в тариф на 2020-2021р'!Q28</f>
        <v>0.3199999999999994</v>
      </c>
      <c r="K31" s="49">
        <f>ROUND(J31/K15*1000,2)</f>
        <v>0.46</v>
      </c>
      <c r="L31" s="50">
        <f>'[1]в тариф на 2020-2021р'!R28</f>
        <v>0.46</v>
      </c>
    </row>
    <row r="32" spans="1:12" ht="15.75" customHeight="1">
      <c r="A32" s="38">
        <v>4.5</v>
      </c>
      <c r="B32" s="44" t="s">
        <v>30</v>
      </c>
      <c r="C32" s="52" t="s">
        <v>8</v>
      </c>
      <c r="D32" s="35">
        <v>30.07</v>
      </c>
      <c r="E32" s="46">
        <v>30.07</v>
      </c>
      <c r="F32" s="47">
        <v>3.62</v>
      </c>
      <c r="G32" s="49">
        <v>0.35</v>
      </c>
      <c r="H32" s="47">
        <f>'[1]в тариф на 2020-2021р'!P29</f>
        <v>1.78</v>
      </c>
      <c r="I32" s="49">
        <f>ROUND(H32/I15*1000,2)</f>
        <v>0.19</v>
      </c>
      <c r="J32" s="47">
        <f>'[1]в тариф на 2020-2021р'!Q29</f>
        <v>0.13000000000000012</v>
      </c>
      <c r="K32" s="49">
        <f>ROUND(J32/K15*1000,2)</f>
        <v>0.19</v>
      </c>
      <c r="L32" s="50">
        <f>'[1]в тариф на 2020-2021р'!R29</f>
        <v>0.19</v>
      </c>
    </row>
    <row r="33" spans="1:12" ht="27.75" customHeight="1">
      <c r="A33" s="54">
        <v>5</v>
      </c>
      <c r="B33" s="55" t="s">
        <v>31</v>
      </c>
      <c r="C33" s="56" t="s">
        <v>8</v>
      </c>
      <c r="D33" s="57">
        <v>1469.73</v>
      </c>
      <c r="E33" s="42">
        <v>1469.73</v>
      </c>
      <c r="F33" s="43">
        <v>73.47</v>
      </c>
      <c r="G33" s="43">
        <v>7.05</v>
      </c>
      <c r="H33" s="43">
        <f>H34+H35+H36+H37+H38</f>
        <v>118.99000000000001</v>
      </c>
      <c r="I33" s="43">
        <f>I34+I35+I36+I37+I38</f>
        <v>12.87</v>
      </c>
      <c r="J33" s="43">
        <f>J34+J35+J36+J37+J38</f>
        <v>9.019999999999989</v>
      </c>
      <c r="K33" s="43">
        <f>K34+K35+K36+K37+K38</f>
        <v>12.87</v>
      </c>
      <c r="L33" s="43">
        <f>L34+L35+L36+L37+L38</f>
        <v>12.87</v>
      </c>
    </row>
    <row r="34" spans="1:12" ht="15.75" customHeight="1">
      <c r="A34" s="38">
        <v>5.1</v>
      </c>
      <c r="B34" s="44" t="s">
        <v>32</v>
      </c>
      <c r="C34" s="52" t="s">
        <v>8</v>
      </c>
      <c r="D34" s="35">
        <v>73.49</v>
      </c>
      <c r="E34" s="46">
        <v>73.49</v>
      </c>
      <c r="F34" s="47">
        <v>3.05</v>
      </c>
      <c r="G34" s="49">
        <v>0.29</v>
      </c>
      <c r="H34" s="47">
        <f>'[1]в тариф на 2020-2021р'!P31</f>
        <v>1.79</v>
      </c>
      <c r="I34" s="49">
        <f>ROUND(H34/I15*1000,2)</f>
        <v>0.19</v>
      </c>
      <c r="J34" s="47">
        <f>'[1]в тариф на 2020-2021р'!Q31</f>
        <v>0.14000000000000012</v>
      </c>
      <c r="K34" s="49">
        <f>ROUND(J34/K15*1000,2)-0.01</f>
        <v>0.19</v>
      </c>
      <c r="L34" s="50">
        <f>'[1]в тариф на 2020-2021р'!R31</f>
        <v>0.19</v>
      </c>
    </row>
    <row r="35" spans="1:12" ht="15.75" customHeight="1">
      <c r="A35" s="38">
        <v>5.2</v>
      </c>
      <c r="B35" s="44" t="s">
        <v>20</v>
      </c>
      <c r="C35" s="52" t="s">
        <v>8</v>
      </c>
      <c r="D35" s="35">
        <v>1066.27</v>
      </c>
      <c r="E35" s="46">
        <v>1066.27</v>
      </c>
      <c r="F35" s="47">
        <v>55.66</v>
      </c>
      <c r="G35" s="49">
        <v>5.34</v>
      </c>
      <c r="H35" s="47">
        <f>'[1]в тариф на 2020-2021р'!P32</f>
        <v>92.92</v>
      </c>
      <c r="I35" s="49">
        <f>ROUND(H35/I15*1000,2)</f>
        <v>10.05</v>
      </c>
      <c r="J35" s="47">
        <f>'[1]в тариф на 2020-2021р'!Q32</f>
        <v>7.039999999999992</v>
      </c>
      <c r="K35" s="49">
        <f>ROUND(J35/K15*1000,2)+0.01</f>
        <v>10.049999999999999</v>
      </c>
      <c r="L35" s="50">
        <f>'[1]в тариф на 2020-2021р'!R32</f>
        <v>10.05</v>
      </c>
    </row>
    <row r="36" spans="1:12" ht="15.75" customHeight="1">
      <c r="A36" s="38">
        <v>5.3</v>
      </c>
      <c r="B36" s="53" t="s">
        <v>22</v>
      </c>
      <c r="C36" s="52" t="s">
        <v>8</v>
      </c>
      <c r="D36" s="35">
        <v>234.58</v>
      </c>
      <c r="E36" s="46">
        <v>234.58</v>
      </c>
      <c r="F36" s="47">
        <v>12.24</v>
      </c>
      <c r="G36" s="49">
        <v>1.17</v>
      </c>
      <c r="H36" s="47">
        <f>'[1]в тариф на 2020-2021р'!P33</f>
        <v>20.44</v>
      </c>
      <c r="I36" s="49">
        <f>ROUND(H36/I15*1000,2)</f>
        <v>2.21</v>
      </c>
      <c r="J36" s="47">
        <f>'[1]в тариф на 2020-2021р'!Q33</f>
        <v>1.5499999999999972</v>
      </c>
      <c r="K36" s="49">
        <f>ROUND(J36/K15*1000,2)</f>
        <v>2.21</v>
      </c>
      <c r="L36" s="50">
        <f>'[1]в тариф на 2020-2021р'!R33</f>
        <v>2.21</v>
      </c>
    </row>
    <row r="37" spans="1:12" ht="15.75" customHeight="1">
      <c r="A37" s="38">
        <v>5.4</v>
      </c>
      <c r="B37" s="44" t="s">
        <v>24</v>
      </c>
      <c r="C37" s="52" t="s">
        <v>8</v>
      </c>
      <c r="D37" s="35">
        <v>2.58</v>
      </c>
      <c r="E37" s="46">
        <v>2.58</v>
      </c>
      <c r="F37" s="47">
        <v>0.16</v>
      </c>
      <c r="G37" s="49">
        <v>0.02</v>
      </c>
      <c r="H37" s="47">
        <f>'[1]в тариф на 2020-2021р'!P34</f>
        <v>0.17</v>
      </c>
      <c r="I37" s="49">
        <f>ROUND(H37/I15*1000,2)</f>
        <v>0.02</v>
      </c>
      <c r="J37" s="47">
        <f>'[1]в тариф на 2020-2021р'!Q34</f>
        <v>0.009999999999999981</v>
      </c>
      <c r="K37" s="49">
        <f>ROUND(J37/K15*1000,2)+0.01</f>
        <v>0.02</v>
      </c>
      <c r="L37" s="50">
        <f>'[1]в тариф на 2020-2021р'!R34</f>
        <v>0.02</v>
      </c>
    </row>
    <row r="38" spans="1:12" ht="15.75" customHeight="1">
      <c r="A38" s="38">
        <v>5.5</v>
      </c>
      <c r="B38" s="44" t="s">
        <v>33</v>
      </c>
      <c r="C38" s="52" t="s">
        <v>8</v>
      </c>
      <c r="D38" s="35">
        <v>92.81</v>
      </c>
      <c r="E38" s="46">
        <v>92.81</v>
      </c>
      <c r="F38" s="47">
        <v>2.36</v>
      </c>
      <c r="G38" s="49">
        <v>0.23</v>
      </c>
      <c r="H38" s="47">
        <f>'[1]в тариф на 2020-2021р'!P35</f>
        <v>3.67</v>
      </c>
      <c r="I38" s="49">
        <f>ROUND(H38/I15*1000,2)</f>
        <v>0.4</v>
      </c>
      <c r="J38" s="47">
        <f>'[1]в тариф на 2020-2021р'!Q35</f>
        <v>0.2799999999999998</v>
      </c>
      <c r="K38" s="49">
        <f>ROUND(J38/K15*1000,2)</f>
        <v>0.4</v>
      </c>
      <c r="L38" s="50">
        <f>'[1]в тариф на 2020-2021р'!R35</f>
        <v>0.4</v>
      </c>
    </row>
    <row r="39" spans="1:12" ht="15.75" customHeight="1">
      <c r="A39" s="38">
        <v>6</v>
      </c>
      <c r="B39" s="44" t="s">
        <v>34</v>
      </c>
      <c r="C39" s="52" t="s">
        <v>8</v>
      </c>
      <c r="D39" s="35">
        <v>0</v>
      </c>
      <c r="E39" s="46">
        <v>0</v>
      </c>
      <c r="F39" s="47">
        <v>17.82</v>
      </c>
      <c r="G39" s="49">
        <v>1.7</v>
      </c>
      <c r="H39" s="47">
        <f>'[1]в тариф на 2020-2021р'!P36</f>
        <v>40.55</v>
      </c>
      <c r="I39" s="49">
        <f>ROUND(H39/I15*1000,2)</f>
        <v>4.38</v>
      </c>
      <c r="J39" s="47">
        <f>'[1]в тариф на 2020-2021р'!Q36</f>
        <v>3.08</v>
      </c>
      <c r="K39" s="49">
        <f>ROUND(J39/K15*1000,2)-0.01</f>
        <v>4.38</v>
      </c>
      <c r="L39" s="47">
        <f>'[1]в тариф на 2020-2021р'!R36</f>
        <v>4.38</v>
      </c>
    </row>
    <row r="40" spans="1:12" ht="27" customHeight="1">
      <c r="A40" s="38">
        <v>7</v>
      </c>
      <c r="B40" s="44" t="s">
        <v>54</v>
      </c>
      <c r="C40" s="52" t="s">
        <v>8</v>
      </c>
      <c r="D40" s="58">
        <v>34888.21</v>
      </c>
      <c r="E40" s="46">
        <v>34888.21</v>
      </c>
      <c r="F40" s="47">
        <f>F16+F39</f>
        <v>931.61</v>
      </c>
      <c r="G40" s="47"/>
      <c r="H40" s="47">
        <f>'[1]в тариф на 2020-2021р'!P38</f>
        <v>1054.3799999999999</v>
      </c>
      <c r="I40" s="47"/>
      <c r="J40" s="47">
        <f>'[1]в тариф на 2020-2021р'!Q38</f>
        <v>80.02099999999986</v>
      </c>
      <c r="K40" s="47"/>
      <c r="L40" s="47">
        <f>L16+L39+0.01</f>
        <v>114.00999999999999</v>
      </c>
    </row>
    <row r="41" spans="1:12" ht="29.25" customHeight="1">
      <c r="A41" s="54">
        <v>8</v>
      </c>
      <c r="B41" s="55" t="s">
        <v>55</v>
      </c>
      <c r="C41" s="59" t="s">
        <v>4</v>
      </c>
      <c r="D41" s="41">
        <v>1519.8258361866926</v>
      </c>
      <c r="E41" s="57"/>
      <c r="F41" s="41"/>
      <c r="G41" s="60">
        <v>89.21</v>
      </c>
      <c r="H41" s="60"/>
      <c r="I41" s="60">
        <f>H40/H15*1000+0.01</f>
        <v>114.01314768834338</v>
      </c>
      <c r="J41" s="60"/>
      <c r="K41" s="60">
        <f>K16+K39</f>
        <v>114.01</v>
      </c>
      <c r="L41" s="60">
        <f>L39+L16+0.01</f>
        <v>114.00999999999999</v>
      </c>
    </row>
    <row r="42" ht="21.75" customHeight="1"/>
    <row r="43" spans="1:12" ht="15.75" customHeight="1">
      <c r="A43" s="88" t="s">
        <v>109</v>
      </c>
      <c r="B43" s="88"/>
      <c r="C43" s="88"/>
      <c r="D43" s="88"/>
      <c r="E43" s="23"/>
      <c r="F43" s="23"/>
      <c r="G43" s="23"/>
      <c r="H43" s="23"/>
      <c r="I43" s="23"/>
      <c r="J43" s="23"/>
      <c r="K43" s="23"/>
      <c r="L43" s="23"/>
    </row>
    <row r="44" spans="1:12" ht="15.75" customHeight="1">
      <c r="A44" s="88"/>
      <c r="B44" s="89"/>
      <c r="C44" s="90"/>
      <c r="D44" s="88"/>
      <c r="E44" s="23"/>
      <c r="F44" s="88"/>
      <c r="G44" s="23"/>
      <c r="H44" s="88"/>
      <c r="I44" s="23"/>
      <c r="J44" s="23"/>
      <c r="K44" s="23"/>
      <c r="L44" s="88" t="s">
        <v>70</v>
      </c>
    </row>
    <row r="45" spans="1:12" ht="15.75" customHeight="1">
      <c r="A45" s="88"/>
      <c r="B45" s="88"/>
      <c r="C45" s="88"/>
      <c r="D45" s="88"/>
      <c r="E45" s="23"/>
      <c r="F45" s="23"/>
      <c r="G45" s="23"/>
      <c r="H45" s="23"/>
      <c r="I45" s="23"/>
      <c r="J45" s="23"/>
      <c r="K45" s="23"/>
      <c r="L45" s="23"/>
    </row>
    <row r="46" spans="1:12" ht="15.75" customHeight="1">
      <c r="A46" s="183" t="s">
        <v>37</v>
      </c>
      <c r="B46" s="183"/>
      <c r="C46" s="183"/>
      <c r="D46" s="183"/>
      <c r="K46"/>
      <c r="L46"/>
    </row>
    <row r="47" spans="1:12" ht="15.75" customHeight="1">
      <c r="A47" s="183" t="s">
        <v>110</v>
      </c>
      <c r="B47" s="183"/>
      <c r="C47" s="183"/>
      <c r="D47" s="183"/>
      <c r="K47"/>
      <c r="L47" t="s">
        <v>104</v>
      </c>
    </row>
    <row r="48" ht="15.75" customHeight="1"/>
    <row r="49" ht="15.75" customHeight="1"/>
    <row r="50" ht="15.75" customHeight="1"/>
    <row r="51" ht="15.75" customHeight="1"/>
  </sheetData>
  <sheetProtection/>
  <mergeCells count="8">
    <mergeCell ref="A8:L8"/>
    <mergeCell ref="A10:A13"/>
    <mergeCell ref="B10:B13"/>
    <mergeCell ref="C10:C13"/>
    <mergeCell ref="F10:G12"/>
    <mergeCell ref="H10:I12"/>
    <mergeCell ref="J10:K12"/>
    <mergeCell ref="L10:L12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30">
      <selection activeCell="F42" sqref="F42"/>
    </sheetView>
  </sheetViews>
  <sheetFormatPr defaultColWidth="9.140625" defaultRowHeight="15"/>
  <cols>
    <col min="1" max="1" width="7.00390625" style="0" customWidth="1"/>
    <col min="2" max="2" width="28.57421875" style="0" customWidth="1"/>
    <col min="3" max="3" width="8.140625" style="0" customWidth="1"/>
    <col min="4" max="4" width="10.28125" style="0" hidden="1" customWidth="1"/>
    <col min="5" max="5" width="0.13671875" style="0" hidden="1" customWidth="1"/>
    <col min="6" max="6" width="11.8515625" style="0" customWidth="1"/>
    <col min="7" max="7" width="10.8515625" style="0" customWidth="1"/>
    <col min="8" max="8" width="11.8515625" style="0" customWidth="1"/>
    <col min="9" max="9" width="11.140625" style="0" customWidth="1"/>
    <col min="10" max="10" width="10.7109375" style="0" customWidth="1"/>
    <col min="11" max="11" width="10.00390625" style="0" customWidth="1"/>
    <col min="12" max="12" width="13.57421875" style="0" customWidth="1"/>
  </cols>
  <sheetData>
    <row r="1" spans="10:12" ht="15.75" customHeight="1">
      <c r="J1" s="22" t="s">
        <v>59</v>
      </c>
      <c r="K1" s="1"/>
      <c r="L1" s="1"/>
    </row>
    <row r="2" spans="10:12" ht="15.75" customHeight="1">
      <c r="J2" s="182" t="s">
        <v>67</v>
      </c>
      <c r="K2" s="24"/>
      <c r="L2" s="1"/>
    </row>
    <row r="3" spans="10:12" ht="15.75" customHeight="1">
      <c r="J3" s="182" t="s">
        <v>68</v>
      </c>
      <c r="K3" s="24"/>
      <c r="L3" s="1"/>
    </row>
    <row r="4" spans="10:11" ht="15.75" customHeight="1">
      <c r="J4" s="182" t="s">
        <v>66</v>
      </c>
      <c r="K4" s="2"/>
    </row>
    <row r="5" ht="15.75" customHeight="1">
      <c r="J5" s="22"/>
    </row>
    <row r="6" ht="15.75" customHeight="1">
      <c r="J6" s="22"/>
    </row>
    <row r="7" spans="1:12" ht="15.75" customHeight="1">
      <c r="A7" s="146" t="s">
        <v>73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</row>
    <row r="8" ht="15.75" customHeight="1"/>
    <row r="9" spans="1:13" ht="18.75" customHeight="1">
      <c r="A9" s="147" t="s">
        <v>42</v>
      </c>
      <c r="B9" s="147" t="s">
        <v>2</v>
      </c>
      <c r="C9" s="147" t="s">
        <v>74</v>
      </c>
      <c r="D9" s="91"/>
      <c r="E9" s="91"/>
      <c r="F9" s="156" t="s">
        <v>1</v>
      </c>
      <c r="G9" s="157"/>
      <c r="H9" s="156" t="s">
        <v>63</v>
      </c>
      <c r="I9" s="157"/>
      <c r="J9" s="156" t="s">
        <v>64</v>
      </c>
      <c r="K9" s="157"/>
      <c r="L9" s="162" t="s">
        <v>65</v>
      </c>
      <c r="M9" s="101"/>
    </row>
    <row r="10" spans="1:12" ht="18.75" customHeight="1">
      <c r="A10" s="148"/>
      <c r="B10" s="148"/>
      <c r="C10" s="148"/>
      <c r="D10" s="92"/>
      <c r="E10" s="93"/>
      <c r="F10" s="158"/>
      <c r="G10" s="159"/>
      <c r="H10" s="158"/>
      <c r="I10" s="159"/>
      <c r="J10" s="158"/>
      <c r="K10" s="159"/>
      <c r="L10" s="163"/>
    </row>
    <row r="11" spans="1:12" ht="18.75" customHeight="1">
      <c r="A11" s="148"/>
      <c r="B11" s="148"/>
      <c r="C11" s="148"/>
      <c r="D11" s="94"/>
      <c r="E11" s="94"/>
      <c r="F11" s="160"/>
      <c r="G11" s="161"/>
      <c r="H11" s="160"/>
      <c r="I11" s="161"/>
      <c r="J11" s="160"/>
      <c r="K11" s="161"/>
      <c r="L11" s="164"/>
    </row>
    <row r="12" spans="1:12" ht="40.5" customHeight="1">
      <c r="A12" s="149"/>
      <c r="B12" s="149"/>
      <c r="C12" s="149"/>
      <c r="D12" s="64"/>
      <c r="E12" s="64"/>
      <c r="F12" s="64" t="s">
        <v>3</v>
      </c>
      <c r="G12" s="65" t="s">
        <v>4</v>
      </c>
      <c r="H12" s="64" t="s">
        <v>3</v>
      </c>
      <c r="I12" s="65" t="s">
        <v>4</v>
      </c>
      <c r="J12" s="64" t="s">
        <v>3</v>
      </c>
      <c r="K12" s="65" t="s">
        <v>4</v>
      </c>
      <c r="L12" s="65" t="s">
        <v>4</v>
      </c>
    </row>
    <row r="13" spans="1:12" ht="15.75" customHeight="1">
      <c r="A13" s="66">
        <v>1</v>
      </c>
      <c r="B13" s="67">
        <v>2</v>
      </c>
      <c r="C13" s="68">
        <v>3</v>
      </c>
      <c r="D13" s="69">
        <v>4</v>
      </c>
      <c r="E13" s="70"/>
      <c r="F13" s="70">
        <v>4</v>
      </c>
      <c r="G13" s="70">
        <v>5</v>
      </c>
      <c r="H13" s="70">
        <v>6</v>
      </c>
      <c r="I13" s="70">
        <v>7</v>
      </c>
      <c r="J13" s="70">
        <v>8</v>
      </c>
      <c r="K13" s="70">
        <v>9</v>
      </c>
      <c r="L13" s="70">
        <v>10</v>
      </c>
    </row>
    <row r="14" spans="1:12" ht="15.75" customHeight="1">
      <c r="A14" s="71">
        <v>1</v>
      </c>
      <c r="B14" s="72" t="s">
        <v>5</v>
      </c>
      <c r="C14" s="34" t="s">
        <v>6</v>
      </c>
      <c r="D14" s="35">
        <v>22955.4</v>
      </c>
      <c r="E14" s="36"/>
      <c r="F14" s="14">
        <v>10023.772</v>
      </c>
      <c r="G14" s="14">
        <v>10023.772</v>
      </c>
      <c r="H14" s="14">
        <v>9248.692</v>
      </c>
      <c r="I14" s="14">
        <v>9248.692</v>
      </c>
      <c r="J14" s="14">
        <v>701.145</v>
      </c>
      <c r="K14" s="14">
        <v>701.145</v>
      </c>
      <c r="L14" s="73">
        <v>1</v>
      </c>
    </row>
    <row r="15" spans="1:12" ht="31.5" customHeight="1">
      <c r="A15" s="74">
        <v>2</v>
      </c>
      <c r="B15" s="39" t="s">
        <v>7</v>
      </c>
      <c r="C15" s="40" t="s">
        <v>8</v>
      </c>
      <c r="D15" s="41">
        <v>34888.21</v>
      </c>
      <c r="E15" s="42">
        <v>34888.21</v>
      </c>
      <c r="F15" s="75">
        <v>687.94</v>
      </c>
      <c r="G15" s="76">
        <v>65.98</v>
      </c>
      <c r="H15" s="77">
        <f>H16+H26+H32</f>
        <v>338.19000000000005</v>
      </c>
      <c r="I15" s="76">
        <f>I16+I26+I32</f>
        <v>36.57</v>
      </c>
      <c r="J15" s="76">
        <f>J16+J26+J32</f>
        <v>25.637280000000047</v>
      </c>
      <c r="K15" s="76">
        <f>K16+K26+K32</f>
        <v>36.5687165992769</v>
      </c>
      <c r="L15" s="76">
        <f>L16+L26+L32</f>
        <v>36.57</v>
      </c>
    </row>
    <row r="16" spans="1:12" ht="15.75" customHeight="1">
      <c r="A16" s="74">
        <v>3</v>
      </c>
      <c r="B16" s="55" t="s">
        <v>9</v>
      </c>
      <c r="C16" s="45" t="s">
        <v>8</v>
      </c>
      <c r="D16" s="35">
        <v>31185.68</v>
      </c>
      <c r="E16" s="46">
        <v>31185.68</v>
      </c>
      <c r="F16" s="75">
        <v>570.54</v>
      </c>
      <c r="G16" s="49">
        <v>54.72</v>
      </c>
      <c r="H16" s="73">
        <f>H17+H22+H23+H24+H25</f>
        <v>191.49</v>
      </c>
      <c r="I16" s="78">
        <f>I17+I22+I23+I24+I25</f>
        <v>20.71</v>
      </c>
      <c r="J16" s="73">
        <f>J17+J22+J23+J24+J25</f>
        <v>14.520000000000016</v>
      </c>
      <c r="K16" s="49">
        <f>K17+K22+K23+K24+K25</f>
        <v>20.711007280947594</v>
      </c>
      <c r="L16" s="78">
        <f>L17+L22+L23+L24+L25</f>
        <v>20.71</v>
      </c>
    </row>
    <row r="17" spans="1:12" ht="25.5" customHeight="1">
      <c r="A17" s="74">
        <v>3.1</v>
      </c>
      <c r="B17" s="44" t="s">
        <v>10</v>
      </c>
      <c r="C17" s="45" t="s">
        <v>8</v>
      </c>
      <c r="D17" s="35">
        <v>27491.35</v>
      </c>
      <c r="E17" s="46">
        <v>27491.35</v>
      </c>
      <c r="F17" s="75">
        <v>4.06</v>
      </c>
      <c r="G17" s="49">
        <v>0.39</v>
      </c>
      <c r="H17" s="73">
        <f>H19+H18+H20+H21</f>
        <v>11.03</v>
      </c>
      <c r="I17" s="78">
        <f>I19+I18+I20+I21</f>
        <v>1.19</v>
      </c>
      <c r="J17" s="73">
        <f>J19+J18+J20+J21</f>
        <v>0.8400000000000016</v>
      </c>
      <c r="K17" s="78">
        <f>K19+K18+K20+K21</f>
        <v>1.19</v>
      </c>
      <c r="L17" s="78">
        <f>L19+L18+L20+L21</f>
        <v>1.19</v>
      </c>
    </row>
    <row r="18" spans="1:12" ht="18" customHeight="1">
      <c r="A18" s="74" t="s">
        <v>11</v>
      </c>
      <c r="B18" s="48" t="s">
        <v>12</v>
      </c>
      <c r="C18" s="45" t="s">
        <v>8</v>
      </c>
      <c r="D18" s="35">
        <v>25751.19</v>
      </c>
      <c r="E18" s="46">
        <v>25751.19</v>
      </c>
      <c r="F18" s="75">
        <f>'[1]в тариф на 2020-2021р'!T16</f>
        <v>0</v>
      </c>
      <c r="G18" s="49">
        <f>ROUND(F18/G14*1000,2)</f>
        <v>0</v>
      </c>
      <c r="H18" s="73">
        <f>'[1]в тариф на 2020-2021р'!U16</f>
        <v>0</v>
      </c>
      <c r="I18" s="78">
        <f>ROUND(H18/I14*1000,2)</f>
        <v>0</v>
      </c>
      <c r="J18" s="79">
        <f>'[1]в тариф на 2020-2021р'!V16</f>
        <v>0</v>
      </c>
      <c r="K18" s="75">
        <f>J18/K14*1000</f>
        <v>0</v>
      </c>
      <c r="L18" s="50">
        <f>'[1]в тариф на 2020-2021р'!W16</f>
        <v>0</v>
      </c>
    </row>
    <row r="19" spans="1:14" ht="25.5" customHeight="1">
      <c r="A19" s="74" t="s">
        <v>13</v>
      </c>
      <c r="B19" s="51" t="s">
        <v>14</v>
      </c>
      <c r="C19" s="45" t="s">
        <v>8</v>
      </c>
      <c r="D19" s="35">
        <v>924.52</v>
      </c>
      <c r="E19" s="46">
        <v>924.52</v>
      </c>
      <c r="F19" s="75">
        <f>'[1]в тариф на 2020-2021р'!T17</f>
        <v>0</v>
      </c>
      <c r="G19" s="49">
        <f>ROUND(F19/G14*1000,2)</f>
        <v>0</v>
      </c>
      <c r="H19" s="73">
        <f>'[1]в тариф на 2020-2021р'!U17</f>
        <v>0</v>
      </c>
      <c r="I19" s="78">
        <f>ROUND(H19/I14*1000,2)</f>
        <v>0</v>
      </c>
      <c r="J19" s="79">
        <f>'[1]в тариф на 2020-2021р'!V17</f>
        <v>0</v>
      </c>
      <c r="K19" s="75">
        <f>J19/K14*1000</f>
        <v>0</v>
      </c>
      <c r="L19" s="50">
        <f>'[1]в тариф на 2020-2021р'!W17</f>
        <v>0</v>
      </c>
      <c r="N19" s="80"/>
    </row>
    <row r="20" spans="1:12" ht="15.75" customHeight="1">
      <c r="A20" s="74" t="s">
        <v>15</v>
      </c>
      <c r="B20" s="51" t="s">
        <v>16</v>
      </c>
      <c r="C20" s="45" t="s">
        <v>8</v>
      </c>
      <c r="D20" s="35">
        <v>157.7</v>
      </c>
      <c r="E20" s="46">
        <v>157.7</v>
      </c>
      <c r="F20" s="75">
        <f>'[1]в тариф на 2020-2021р'!T18</f>
        <v>0</v>
      </c>
      <c r="G20" s="49">
        <f>ROUND(F20/G14*1000,2)</f>
        <v>0</v>
      </c>
      <c r="H20" s="73">
        <f>'[1]в тариф на 2020-2021р'!U18</f>
        <v>0</v>
      </c>
      <c r="I20" s="78">
        <f>ROUND(H20/I14*1000,2)</f>
        <v>0</v>
      </c>
      <c r="J20" s="79">
        <f>'[1]в тариф на 2020-2021р'!V18</f>
        <v>0</v>
      </c>
      <c r="K20" s="75">
        <f>J20/K14*1000</f>
        <v>0</v>
      </c>
      <c r="L20" s="50">
        <f>'[1]в тариф на 2020-2021р'!W18</f>
        <v>0</v>
      </c>
    </row>
    <row r="21" spans="1:12" ht="15.75" customHeight="1">
      <c r="A21" s="74" t="s">
        <v>17</v>
      </c>
      <c r="B21" s="51" t="s">
        <v>18</v>
      </c>
      <c r="C21" s="52" t="s">
        <v>8</v>
      </c>
      <c r="D21" s="35">
        <v>657.94</v>
      </c>
      <c r="E21" s="46">
        <v>657.94</v>
      </c>
      <c r="F21" s="75">
        <v>4.06</v>
      </c>
      <c r="G21" s="49">
        <v>0.39</v>
      </c>
      <c r="H21" s="73">
        <f>'[1]в тариф на 2020-2021р'!U19</f>
        <v>11.03</v>
      </c>
      <c r="I21" s="78">
        <f>ROUND(H21/I14*1000,2)</f>
        <v>1.19</v>
      </c>
      <c r="J21" s="79">
        <f>'[1]в тариф на 2020-2021р'!V19</f>
        <v>0.8400000000000016</v>
      </c>
      <c r="K21" s="75">
        <f>ROUND(J21/K14*1000,2)-0.01</f>
        <v>1.19</v>
      </c>
      <c r="L21" s="50">
        <f>'[1]в тариф на 2020-2021р'!W19</f>
        <v>1.19</v>
      </c>
    </row>
    <row r="22" spans="1:12" ht="15.75" customHeight="1">
      <c r="A22" s="74" t="s">
        <v>19</v>
      </c>
      <c r="B22" s="44" t="s">
        <v>20</v>
      </c>
      <c r="C22" s="52" t="s">
        <v>8</v>
      </c>
      <c r="D22" s="35">
        <v>2644.33</v>
      </c>
      <c r="E22" s="46">
        <v>2644.33</v>
      </c>
      <c r="F22" s="75">
        <v>354.89</v>
      </c>
      <c r="G22" s="49">
        <v>34.04</v>
      </c>
      <c r="H22" s="73">
        <f>'[1]в тариф на 2020-2021р'!U20</f>
        <v>119</v>
      </c>
      <c r="I22" s="78">
        <f>ROUND(H22/I14*1000,2)</f>
        <v>12.87</v>
      </c>
      <c r="J22" s="79">
        <f>'[1]в тариф на 2020-2021р'!V20</f>
        <v>9.02000000000001</v>
      </c>
      <c r="K22" s="75">
        <f>ROUND(J22/K14*1000,2)+0.01</f>
        <v>12.87</v>
      </c>
      <c r="L22" s="50">
        <f>'[1]в тариф на 2020-2021р'!W20</f>
        <v>12.87</v>
      </c>
    </row>
    <row r="23" spans="1:12" ht="15.75" customHeight="1">
      <c r="A23" s="74" t="s">
        <v>21</v>
      </c>
      <c r="B23" s="53" t="s">
        <v>22</v>
      </c>
      <c r="C23" s="52" t="s">
        <v>8</v>
      </c>
      <c r="D23" s="35">
        <v>581.75</v>
      </c>
      <c r="E23" s="46">
        <v>581.75</v>
      </c>
      <c r="F23" s="75">
        <v>78.08</v>
      </c>
      <c r="G23" s="49">
        <v>7.49</v>
      </c>
      <c r="H23" s="73">
        <f>'[1]в тариф на 2020-2021р'!U21</f>
        <v>26.18</v>
      </c>
      <c r="I23" s="78">
        <f>ROUND(H23/I14*1000,2)</f>
        <v>2.83</v>
      </c>
      <c r="J23" s="79">
        <f>'[1]в тариф на 2020-2021р'!V21</f>
        <v>1.98</v>
      </c>
      <c r="K23" s="75">
        <f>ROUND(J23/K14*1000,2)+0.01</f>
        <v>2.8299999999999996</v>
      </c>
      <c r="L23" s="50">
        <f>'[1]в тариф на 2020-2021р'!W21</f>
        <v>2.83</v>
      </c>
    </row>
    <row r="24" spans="1:12" ht="15.75" customHeight="1">
      <c r="A24" s="74" t="s">
        <v>23</v>
      </c>
      <c r="B24" s="44" t="s">
        <v>24</v>
      </c>
      <c r="C24" s="52" t="s">
        <v>8</v>
      </c>
      <c r="D24" s="35">
        <v>137.52</v>
      </c>
      <c r="E24" s="46">
        <v>137.52</v>
      </c>
      <c r="F24" s="75">
        <v>0.88</v>
      </c>
      <c r="G24" s="49">
        <v>0.08</v>
      </c>
      <c r="H24" s="73">
        <f>'[1]в тариф на 2020-2021р'!U22</f>
        <v>0.6</v>
      </c>
      <c r="I24" s="78">
        <f>ROUND(H24/I14*1000,2)+0.01</f>
        <v>0.06999999999999999</v>
      </c>
      <c r="J24" s="79">
        <f>'[1]в тариф на 2020-2021р'!V22</f>
        <v>0.050000000000000044</v>
      </c>
      <c r="K24" s="78">
        <f>ROUND(J24/K14*1000,2)</f>
        <v>0.07</v>
      </c>
      <c r="L24" s="50">
        <f>'[1]в тариф на 2020-2021р'!W22</f>
        <v>0.07</v>
      </c>
    </row>
    <row r="25" spans="1:12" ht="15.75" customHeight="1">
      <c r="A25" s="74" t="s">
        <v>25</v>
      </c>
      <c r="B25" s="44" t="s">
        <v>26</v>
      </c>
      <c r="C25" s="52" t="s">
        <v>8</v>
      </c>
      <c r="D25" s="35">
        <v>330.73</v>
      </c>
      <c r="E25" s="46">
        <v>330.73</v>
      </c>
      <c r="F25" s="75">
        <v>132.63</v>
      </c>
      <c r="G25" s="49">
        <v>12.72</v>
      </c>
      <c r="H25" s="73">
        <f>'[1]в тариф на 2020-2021р'!U23</f>
        <v>34.68</v>
      </c>
      <c r="I25" s="78">
        <f>ROUND(H25/I14*1000,2)</f>
        <v>3.75</v>
      </c>
      <c r="J25" s="79">
        <f>'[1]в тариф на 2020-2021р'!V23</f>
        <v>2.6300000000000026</v>
      </c>
      <c r="K25" s="75">
        <f>J25/K14*1000</f>
        <v>3.7510072809475967</v>
      </c>
      <c r="L25" s="50">
        <f>'[1]в тариф на 2020-2021р'!W23</f>
        <v>3.75</v>
      </c>
    </row>
    <row r="26" spans="1:12" ht="33" customHeight="1">
      <c r="A26" s="81">
        <v>4</v>
      </c>
      <c r="B26" s="55" t="s">
        <v>27</v>
      </c>
      <c r="C26" s="56" t="s">
        <v>8</v>
      </c>
      <c r="D26" s="57">
        <v>2232.8</v>
      </c>
      <c r="E26" s="42">
        <v>2232.8</v>
      </c>
      <c r="F26" s="82">
        <v>58.62</v>
      </c>
      <c r="G26" s="76">
        <v>5.63</v>
      </c>
      <c r="H26" s="77">
        <f>H27+H28+H29+H30+H31</f>
        <v>65.54</v>
      </c>
      <c r="I26" s="76">
        <f>I27+I28+I29+I30+I31</f>
        <v>7.08</v>
      </c>
      <c r="J26" s="76">
        <f>J27+J28+J29+J30+J31</f>
        <v>4.963680000000012</v>
      </c>
      <c r="K26" s="76">
        <f>K27+K28+K29+K30+K31</f>
        <v>7.08</v>
      </c>
      <c r="L26" s="76">
        <f>L27+L28+L29+L30+L31</f>
        <v>7.08</v>
      </c>
    </row>
    <row r="27" spans="1:12" ht="15.75" customHeight="1">
      <c r="A27" s="74">
        <v>4.1</v>
      </c>
      <c r="B27" s="44" t="s">
        <v>28</v>
      </c>
      <c r="C27" s="52" t="s">
        <v>8</v>
      </c>
      <c r="D27" s="35">
        <v>174.34</v>
      </c>
      <c r="E27" s="46">
        <v>174.34</v>
      </c>
      <c r="F27" s="75">
        <v>9.56</v>
      </c>
      <c r="G27" s="49">
        <v>0.92</v>
      </c>
      <c r="H27" s="73">
        <f>'[1]в тариф на 2020-2021р'!U25</f>
        <v>3.09</v>
      </c>
      <c r="I27" s="78">
        <f>ROUND(H27/I14*1000,2)</f>
        <v>0.33</v>
      </c>
      <c r="J27" s="79">
        <f>'[1]в тариф на 2020-2021р'!V25</f>
        <v>0.23840000000000083</v>
      </c>
      <c r="K27" s="75">
        <f>ROUND(J27/K14*1000,2)-0.01</f>
        <v>0.33</v>
      </c>
      <c r="L27" s="50">
        <f>'[1]в тариф на 2020-2021р'!W25</f>
        <v>0.33</v>
      </c>
    </row>
    <row r="28" spans="1:15" ht="15.75" customHeight="1">
      <c r="A28" s="74">
        <v>4.2</v>
      </c>
      <c r="B28" s="44" t="s">
        <v>20</v>
      </c>
      <c r="C28" s="52" t="s">
        <v>8</v>
      </c>
      <c r="D28" s="35">
        <v>1640.52</v>
      </c>
      <c r="E28" s="46">
        <v>1640.52</v>
      </c>
      <c r="F28" s="75">
        <v>34.5</v>
      </c>
      <c r="G28" s="49">
        <v>3.31</v>
      </c>
      <c r="H28" s="73">
        <f>'[1]в тариф на 2020-2021р'!U26</f>
        <v>48.95</v>
      </c>
      <c r="I28" s="78">
        <f>ROUND(H28/I14*1000,2)</f>
        <v>5.29</v>
      </c>
      <c r="J28" s="79">
        <f>'[1]в тариф на 2020-2021р'!V26</f>
        <v>3.7066400000000073</v>
      </c>
      <c r="K28" s="75">
        <f>ROUND(J28/K14*1000,2)</f>
        <v>5.29</v>
      </c>
      <c r="L28" s="50">
        <f>'[1]в тариф на 2020-2021р'!W26</f>
        <v>5.29</v>
      </c>
      <c r="O28" s="83"/>
    </row>
    <row r="29" spans="1:12" ht="15.75" customHeight="1">
      <c r="A29" s="74">
        <v>4.3</v>
      </c>
      <c r="B29" s="44" t="s">
        <v>29</v>
      </c>
      <c r="C29" s="52" t="s">
        <v>8</v>
      </c>
      <c r="D29" s="35">
        <v>360.91</v>
      </c>
      <c r="E29" s="46">
        <v>360.91</v>
      </c>
      <c r="F29" s="75">
        <v>7.59</v>
      </c>
      <c r="G29" s="49">
        <v>0.73</v>
      </c>
      <c r="H29" s="73">
        <f>'[1]в тариф на 2020-2021р'!U27</f>
        <v>10.77</v>
      </c>
      <c r="I29" s="78">
        <f>ROUND(H29/I14*1000,2)</f>
        <v>1.16</v>
      </c>
      <c r="J29" s="79">
        <f>'[1]в тариф на 2020-2021р'!V27</f>
        <v>0.8154400000000042</v>
      </c>
      <c r="K29" s="75">
        <f>ROUND(J29/K14*1000,2)</f>
        <v>1.16</v>
      </c>
      <c r="L29" s="50">
        <f>'[1]в тариф на 2020-2021р'!W27</f>
        <v>1.16</v>
      </c>
    </row>
    <row r="30" spans="1:12" ht="15.75" customHeight="1">
      <c r="A30" s="74">
        <v>4.4</v>
      </c>
      <c r="B30" s="44" t="s">
        <v>24</v>
      </c>
      <c r="C30" s="52" t="s">
        <v>8</v>
      </c>
      <c r="D30" s="35">
        <v>26.96</v>
      </c>
      <c r="E30" s="46">
        <v>26.96</v>
      </c>
      <c r="F30" s="75">
        <v>4.08</v>
      </c>
      <c r="G30" s="49">
        <v>0.39</v>
      </c>
      <c r="H30" s="73">
        <f>'[1]в тариф на 2020-2021р'!U28</f>
        <v>1.92</v>
      </c>
      <c r="I30" s="78">
        <f>ROUND(H30/I14*1000,2)</f>
        <v>0.21</v>
      </c>
      <c r="J30" s="79">
        <f>'[1]в тариф на 2020-2021р'!V28</f>
        <v>0.14440000000000008</v>
      </c>
      <c r="K30" s="75">
        <f>ROUND(J30/K14*1000,2)</f>
        <v>0.21</v>
      </c>
      <c r="L30" s="50">
        <f>'[1]в тариф на 2020-2021р'!W28</f>
        <v>0.21</v>
      </c>
    </row>
    <row r="31" spans="1:12" ht="15.75" customHeight="1">
      <c r="A31" s="74">
        <v>4.5</v>
      </c>
      <c r="B31" s="44" t="s">
        <v>30</v>
      </c>
      <c r="C31" s="52" t="s">
        <v>8</v>
      </c>
      <c r="D31" s="35">
        <v>30.07</v>
      </c>
      <c r="E31" s="46">
        <v>30.07</v>
      </c>
      <c r="F31" s="75">
        <v>2.89</v>
      </c>
      <c r="G31" s="49">
        <v>0.28</v>
      </c>
      <c r="H31" s="73">
        <f>'[1]в тариф на 2020-2021р'!U29</f>
        <v>0.81</v>
      </c>
      <c r="I31" s="78">
        <f>ROUND(H31/I14*1000,2)</f>
        <v>0.09</v>
      </c>
      <c r="J31" s="79">
        <f>'[1]в тариф на 2020-2021р'!V29</f>
        <v>0.05879999999999985</v>
      </c>
      <c r="K31" s="75">
        <f>ROUND(J31/K14*1000,2)+0.01</f>
        <v>0.09</v>
      </c>
      <c r="L31" s="50">
        <f>'[1]в тариф на 2020-2021р'!W29</f>
        <v>0.09</v>
      </c>
    </row>
    <row r="32" spans="1:12" ht="27.75" customHeight="1">
      <c r="A32" s="81">
        <v>5</v>
      </c>
      <c r="B32" s="55" t="s">
        <v>31</v>
      </c>
      <c r="C32" s="56" t="s">
        <v>8</v>
      </c>
      <c r="D32" s="57">
        <v>1469.73</v>
      </c>
      <c r="E32" s="42">
        <v>1469.73</v>
      </c>
      <c r="F32" s="82">
        <v>58.78</v>
      </c>
      <c r="G32" s="76">
        <v>5.63</v>
      </c>
      <c r="H32" s="77">
        <f>H33+H34+H35+H36+H37</f>
        <v>81.16</v>
      </c>
      <c r="I32" s="76">
        <f>I33+I34+I35+I36+I37</f>
        <v>8.78</v>
      </c>
      <c r="J32" s="76">
        <f>J33+J34+J35+J36+J37</f>
        <v>6.15360000000002</v>
      </c>
      <c r="K32" s="76">
        <f>K33+K34+K35+K36+K37</f>
        <v>8.777709318329304</v>
      </c>
      <c r="L32" s="76">
        <f>L33+L34+L35+L36+L37</f>
        <v>8.78</v>
      </c>
    </row>
    <row r="33" spans="1:12" ht="15.75" customHeight="1">
      <c r="A33" s="74">
        <v>5.1</v>
      </c>
      <c r="B33" s="44" t="s">
        <v>32</v>
      </c>
      <c r="C33" s="52" t="s">
        <v>8</v>
      </c>
      <c r="D33" s="35">
        <v>73.49</v>
      </c>
      <c r="E33" s="46">
        <v>73.49</v>
      </c>
      <c r="F33" s="75">
        <v>2.44</v>
      </c>
      <c r="G33" s="49">
        <v>0.23</v>
      </c>
      <c r="H33" s="73">
        <f>'[1]в тариф на 2020-2021р'!U31</f>
        <v>0.82</v>
      </c>
      <c r="I33" s="75">
        <f>ROUND(H33/I14*1000,2)</f>
        <v>0.09</v>
      </c>
      <c r="J33" s="79">
        <f>'[1]в тариф на 2020-2021р'!V31</f>
        <v>0.06099999999999994</v>
      </c>
      <c r="K33" s="75">
        <f>ROUND(J33/K14*1000,2)</f>
        <v>0.09</v>
      </c>
      <c r="L33" s="50">
        <f>'[1]в тариф на 2020-2021р'!W31</f>
        <v>0.09</v>
      </c>
    </row>
    <row r="34" spans="1:12" ht="15.75" customHeight="1">
      <c r="A34" s="74">
        <v>5.2</v>
      </c>
      <c r="B34" s="44" t="s">
        <v>20</v>
      </c>
      <c r="C34" s="52" t="s">
        <v>8</v>
      </c>
      <c r="D34" s="35">
        <v>1066.27</v>
      </c>
      <c r="E34" s="46">
        <v>1066.27</v>
      </c>
      <c r="F34" s="75">
        <v>44.52</v>
      </c>
      <c r="G34" s="49">
        <v>4.27</v>
      </c>
      <c r="H34" s="73">
        <f>'[1]в тариф на 2020-2021р'!U32</f>
        <v>64.42</v>
      </c>
      <c r="I34" s="78">
        <f>ROUND(H34/I14*1000,2)</f>
        <v>6.97</v>
      </c>
      <c r="J34" s="79">
        <f>'[1]в тариф на 2020-2021р'!V32</f>
        <v>4.885480000000015</v>
      </c>
      <c r="K34" s="75">
        <f>ROUND(J34/K14*1000,2)</f>
        <v>6.97</v>
      </c>
      <c r="L34" s="50">
        <f>'[1]в тариф на 2020-2021р'!W32</f>
        <v>6.97</v>
      </c>
    </row>
    <row r="35" spans="1:12" ht="15.75" customHeight="1">
      <c r="A35" s="74">
        <v>5.3</v>
      </c>
      <c r="B35" s="53" t="s">
        <v>22</v>
      </c>
      <c r="C35" s="52" t="s">
        <v>8</v>
      </c>
      <c r="D35" s="35">
        <v>234.58</v>
      </c>
      <c r="E35" s="46">
        <v>234.58</v>
      </c>
      <c r="F35" s="75">
        <v>9.8</v>
      </c>
      <c r="G35" s="49">
        <v>0.94</v>
      </c>
      <c r="H35" s="73">
        <f>'[1]в тариф на 2020-2021р'!U33</f>
        <v>14.17</v>
      </c>
      <c r="I35" s="78">
        <f>ROUND(H35/I14*1000,2)</f>
        <v>1.53</v>
      </c>
      <c r="J35" s="79">
        <f>'[1]в тариф на 2020-2021р'!V33</f>
        <v>1.0777200000000047</v>
      </c>
      <c r="K35" s="75">
        <f>ROUND(J35/K14*1000,2)-0.01</f>
        <v>1.53</v>
      </c>
      <c r="L35" s="50">
        <f>'[1]в тариф на 2020-2021р'!W33</f>
        <v>1.53</v>
      </c>
    </row>
    <row r="36" spans="1:12" ht="15.75" customHeight="1">
      <c r="A36" s="74">
        <v>5.4</v>
      </c>
      <c r="B36" s="44" t="s">
        <v>24</v>
      </c>
      <c r="C36" s="52" t="s">
        <v>8</v>
      </c>
      <c r="D36" s="35">
        <v>2.58</v>
      </c>
      <c r="E36" s="46">
        <v>2.58</v>
      </c>
      <c r="F36" s="75">
        <v>0.13</v>
      </c>
      <c r="G36" s="49">
        <v>0.01</v>
      </c>
      <c r="H36" s="73">
        <f>'[1]в тариф на 2020-2021р'!U34</f>
        <v>0.08</v>
      </c>
      <c r="I36" s="78">
        <f>ROUND(H36/I14*1000,2)</f>
        <v>0.01</v>
      </c>
      <c r="J36" s="79">
        <f>'[1]в тариф на 2020-2021р'!V34</f>
        <v>0.004800000000000013</v>
      </c>
      <c r="K36" s="75">
        <f>ROUND(J36/K14*1000,2)</f>
        <v>0.01</v>
      </c>
      <c r="L36" s="50">
        <f>'[1]в тариф на 2020-2021р'!W34</f>
        <v>0.01</v>
      </c>
    </row>
    <row r="37" spans="1:12" ht="15.75" customHeight="1">
      <c r="A37" s="74">
        <v>5.5</v>
      </c>
      <c r="B37" s="44" t="s">
        <v>33</v>
      </c>
      <c r="C37" s="52" t="s">
        <v>8</v>
      </c>
      <c r="D37" s="35">
        <v>92.81</v>
      </c>
      <c r="E37" s="46">
        <v>92.81</v>
      </c>
      <c r="F37" s="75">
        <v>1.89</v>
      </c>
      <c r="G37" s="49">
        <v>0.18</v>
      </c>
      <c r="H37" s="73">
        <f>'[1]в тариф на 2020-2021р'!U35</f>
        <v>1.67</v>
      </c>
      <c r="I37" s="78">
        <f>ROUND(H37/I14*1000,2)</f>
        <v>0.18</v>
      </c>
      <c r="J37" s="79">
        <f>'[1]в тариф на 2020-2021р'!V35</f>
        <v>0.12460000000000004</v>
      </c>
      <c r="K37" s="75">
        <f>J37/K14*1000</f>
        <v>0.17770931832930428</v>
      </c>
      <c r="L37" s="50">
        <f>'[1]в тариф на 2020-2021р'!W35</f>
        <v>0.18</v>
      </c>
    </row>
    <row r="38" spans="1:12" ht="15.75" customHeight="1">
      <c r="A38" s="74">
        <v>6</v>
      </c>
      <c r="B38" s="44" t="s">
        <v>34</v>
      </c>
      <c r="C38" s="52" t="s">
        <v>8</v>
      </c>
      <c r="D38" s="35">
        <v>0</v>
      </c>
      <c r="E38" s="46">
        <v>0</v>
      </c>
      <c r="F38" s="75">
        <v>13.41</v>
      </c>
      <c r="G38" s="49">
        <v>1.29</v>
      </c>
      <c r="H38" s="73">
        <f>'[1]в тариф на 2020-2021р'!U36</f>
        <v>13.53</v>
      </c>
      <c r="I38" s="78">
        <f>ROUND(H38/I14*1000,2)</f>
        <v>1.46</v>
      </c>
      <c r="J38" s="79">
        <f>'[1]в тариф на 2020-2021р'!V36</f>
        <v>1.03</v>
      </c>
      <c r="K38" s="75">
        <f>ROUND(J38/J14*1000,2)-0.01</f>
        <v>1.46</v>
      </c>
      <c r="L38" s="50">
        <f>'[1]в тариф на 2020-2021р'!W36</f>
        <v>1.46</v>
      </c>
    </row>
    <row r="39" spans="1:12" ht="33" customHeight="1">
      <c r="A39" s="74">
        <v>7</v>
      </c>
      <c r="B39" s="44" t="s">
        <v>57</v>
      </c>
      <c r="C39" s="52" t="s">
        <v>8</v>
      </c>
      <c r="D39" s="58">
        <v>34888.21</v>
      </c>
      <c r="E39" s="46">
        <v>34888.21</v>
      </c>
      <c r="F39" s="75">
        <v>701.35</v>
      </c>
      <c r="G39" s="75"/>
      <c r="H39" s="75">
        <f>H16+H26+H32+H38</f>
        <v>351.72</v>
      </c>
      <c r="I39" s="75"/>
      <c r="J39" s="75">
        <f>J16+J26+J32+J38</f>
        <v>26.667280000000048</v>
      </c>
      <c r="K39" s="75"/>
      <c r="L39" s="75">
        <f>L15+L38</f>
        <v>38.03</v>
      </c>
    </row>
    <row r="40" spans="1:12" ht="33" customHeight="1">
      <c r="A40" s="81">
        <v>8</v>
      </c>
      <c r="B40" s="55" t="s">
        <v>58</v>
      </c>
      <c r="C40" s="59" t="s">
        <v>4</v>
      </c>
      <c r="D40" s="41">
        <v>1519.8258361866926</v>
      </c>
      <c r="E40" s="57"/>
      <c r="F40" s="41"/>
      <c r="G40" s="82">
        <f>G15+G38</f>
        <v>67.27000000000001</v>
      </c>
      <c r="H40" s="77"/>
      <c r="I40" s="76">
        <f>I15+I38</f>
        <v>38.03</v>
      </c>
      <c r="J40" s="43"/>
      <c r="K40" s="76">
        <f>K15+K38</f>
        <v>38.0287165992769</v>
      </c>
      <c r="L40" s="76">
        <f>L39</f>
        <v>38.03</v>
      </c>
    </row>
    <row r="41" ht="21.75" customHeight="1">
      <c r="F41" s="42"/>
    </row>
    <row r="42" spans="1:12" ht="15.75" customHeight="1">
      <c r="A42" s="88" t="s">
        <v>69</v>
      </c>
      <c r="B42" s="88" t="s">
        <v>102</v>
      </c>
      <c r="C42" s="88"/>
      <c r="D42" s="88"/>
      <c r="E42" s="23"/>
      <c r="F42" s="23"/>
      <c r="G42" s="23"/>
      <c r="H42" s="23"/>
      <c r="I42" s="23"/>
      <c r="J42" s="23"/>
      <c r="K42" s="23"/>
      <c r="L42" s="23"/>
    </row>
    <row r="43" spans="1:12" ht="15.75" customHeight="1">
      <c r="A43" s="88"/>
      <c r="B43" s="89"/>
      <c r="C43" s="90"/>
      <c r="D43" s="88"/>
      <c r="E43" s="23"/>
      <c r="F43" s="88"/>
      <c r="G43" s="23"/>
      <c r="H43" s="88"/>
      <c r="I43" s="23"/>
      <c r="J43" s="23"/>
      <c r="K43" s="23"/>
      <c r="L43" s="88" t="s">
        <v>70</v>
      </c>
    </row>
    <row r="44" spans="1:12" ht="15.75" customHeight="1">
      <c r="A44" s="88"/>
      <c r="B44" s="88"/>
      <c r="C44" s="88"/>
      <c r="D44" s="88"/>
      <c r="E44" s="23"/>
      <c r="F44" s="23"/>
      <c r="G44" s="23"/>
      <c r="H44" s="23"/>
      <c r="I44" s="23"/>
      <c r="J44" s="23"/>
      <c r="K44" s="23"/>
      <c r="L44" s="23"/>
    </row>
    <row r="45" spans="1:12" ht="15.75" customHeight="1">
      <c r="A45" s="183" t="s">
        <v>37</v>
      </c>
      <c r="B45" s="183"/>
      <c r="C45" s="183"/>
      <c r="D45" s="183"/>
      <c r="E45" s="2"/>
      <c r="F45" s="2"/>
      <c r="G45" s="2"/>
      <c r="H45" s="2"/>
      <c r="I45" s="2"/>
      <c r="J45" s="2"/>
      <c r="K45" s="2"/>
      <c r="L45" s="2"/>
    </row>
    <row r="46" spans="1:12" ht="15.75" customHeight="1">
      <c r="A46" s="183" t="s">
        <v>108</v>
      </c>
      <c r="B46" s="183"/>
      <c r="C46" s="183"/>
      <c r="D46" s="183"/>
      <c r="E46" s="2"/>
      <c r="F46" s="2"/>
      <c r="G46" s="2"/>
      <c r="H46" s="2"/>
      <c r="I46" s="2"/>
      <c r="J46" s="2"/>
      <c r="K46" s="2"/>
      <c r="L46" s="2" t="s">
        <v>104</v>
      </c>
    </row>
    <row r="47" spans="1:12" ht="15.75" customHeight="1">
      <c r="A47" s="183"/>
      <c r="B47" s="183"/>
      <c r="C47" s="183"/>
      <c r="D47" s="183"/>
      <c r="E47" s="2"/>
      <c r="F47" s="2"/>
      <c r="G47" s="2"/>
      <c r="H47" s="2"/>
      <c r="I47" s="2"/>
      <c r="J47" s="2"/>
      <c r="K47" s="2"/>
      <c r="L47" s="2"/>
    </row>
    <row r="48" spans="1:12" ht="15.75" customHeight="1">
      <c r="A48" s="183"/>
      <c r="B48" s="183"/>
      <c r="C48" s="183"/>
      <c r="D48" s="183"/>
      <c r="E48" s="2"/>
      <c r="F48" s="2"/>
      <c r="G48" s="2"/>
      <c r="H48" s="2"/>
      <c r="I48" s="2"/>
      <c r="J48" s="2"/>
      <c r="K48" s="2"/>
      <c r="L48" s="2"/>
    </row>
    <row r="49" ht="15.75" customHeight="1"/>
    <row r="50" ht="15.75" customHeight="1"/>
    <row r="51" ht="15.75" customHeight="1"/>
    <row r="52" ht="15.75" customHeight="1"/>
  </sheetData>
  <sheetProtection/>
  <mergeCells count="8">
    <mergeCell ref="A7:L7"/>
    <mergeCell ref="A9:A12"/>
    <mergeCell ref="B9:B12"/>
    <mergeCell ref="C9:C12"/>
    <mergeCell ref="F9:G11"/>
    <mergeCell ref="H9:I11"/>
    <mergeCell ref="J9:K11"/>
    <mergeCell ref="L9:L11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zoomScale="75" zoomScaleNormal="75" zoomScalePageLayoutView="0" workbookViewId="0" topLeftCell="A1">
      <selection activeCell="C3" sqref="C3"/>
    </sheetView>
  </sheetViews>
  <sheetFormatPr defaultColWidth="9.140625" defaultRowHeight="15.75" customHeight="1"/>
  <cols>
    <col min="1" max="1" width="6.8515625" style="0" customWidth="1"/>
    <col min="2" max="2" width="37.8515625" style="0" customWidth="1"/>
    <col min="3" max="3" width="17.57421875" style="0" customWidth="1"/>
    <col min="4" max="4" width="20.00390625" style="0" customWidth="1"/>
    <col min="5" max="5" width="18.140625" style="0" customWidth="1"/>
    <col min="6" max="6" width="16.00390625" style="0" customWidth="1"/>
  </cols>
  <sheetData>
    <row r="1" spans="3:5" ht="15.75" customHeight="1">
      <c r="C1" s="1"/>
      <c r="E1" s="22" t="s">
        <v>41</v>
      </c>
    </row>
    <row r="2" spans="3:6" ht="15.75" customHeight="1">
      <c r="C2" s="1"/>
      <c r="E2" s="182" t="s">
        <v>67</v>
      </c>
      <c r="F2" s="2"/>
    </row>
    <row r="3" spans="3:6" ht="15.75" customHeight="1">
      <c r="C3" s="1"/>
      <c r="E3" s="182" t="s">
        <v>68</v>
      </c>
      <c r="F3" s="2"/>
    </row>
    <row r="4" spans="5:6" ht="15.75" customHeight="1">
      <c r="E4" s="182" t="s">
        <v>66</v>
      </c>
      <c r="F4" s="2"/>
    </row>
    <row r="7" spans="1:6" ht="15.75" customHeight="1">
      <c r="A7" s="146" t="s">
        <v>60</v>
      </c>
      <c r="B7" s="146"/>
      <c r="C7" s="146"/>
      <c r="D7" s="146"/>
      <c r="E7" s="146"/>
      <c r="F7" s="146"/>
    </row>
    <row r="8" spans="1:6" ht="15.75" customHeight="1">
      <c r="A8" s="146" t="s">
        <v>75</v>
      </c>
      <c r="B8" s="146"/>
      <c r="C8" s="146"/>
      <c r="D8" s="146"/>
      <c r="E8" s="146"/>
      <c r="F8" s="146"/>
    </row>
    <row r="10" spans="1:6" ht="115.5" customHeight="1">
      <c r="A10" s="3" t="s">
        <v>42</v>
      </c>
      <c r="B10" s="3" t="s">
        <v>43</v>
      </c>
      <c r="C10" s="4" t="s">
        <v>44</v>
      </c>
      <c r="D10" s="5" t="s">
        <v>45</v>
      </c>
      <c r="E10" s="5" t="s">
        <v>46</v>
      </c>
      <c r="F10" s="5" t="s">
        <v>47</v>
      </c>
    </row>
    <row r="11" spans="1:6" ht="26.25" customHeight="1">
      <c r="A11" s="6">
        <v>1</v>
      </c>
      <c r="B11" s="7">
        <v>2</v>
      </c>
      <c r="C11" s="6">
        <v>3</v>
      </c>
      <c r="D11" s="15">
        <v>4</v>
      </c>
      <c r="E11" s="15">
        <v>5</v>
      </c>
      <c r="F11" s="15">
        <v>6</v>
      </c>
    </row>
    <row r="12" spans="1:6" ht="43.5" customHeight="1">
      <c r="A12" s="8">
        <v>1</v>
      </c>
      <c r="B12" s="9" t="s">
        <v>76</v>
      </c>
      <c r="C12" s="16">
        <v>1696.32</v>
      </c>
      <c r="D12" s="16">
        <v>4337.26</v>
      </c>
      <c r="E12" s="16">
        <v>4337.26</v>
      </c>
      <c r="F12" s="17">
        <v>3437.29</v>
      </c>
    </row>
    <row r="13" spans="1:11" ht="28.5" customHeight="1">
      <c r="A13" s="8">
        <v>4</v>
      </c>
      <c r="B13" s="9" t="s">
        <v>34</v>
      </c>
      <c r="C13" s="18">
        <v>33.23</v>
      </c>
      <c r="D13" s="16">
        <v>173.45</v>
      </c>
      <c r="E13" s="16">
        <v>173.45</v>
      </c>
      <c r="F13" s="17">
        <v>137.49</v>
      </c>
      <c r="I13" s="170"/>
      <c r="J13" s="170"/>
      <c r="K13" s="170"/>
    </row>
    <row r="14" spans="1:11" ht="29.25" customHeight="1">
      <c r="A14" s="8"/>
      <c r="B14" s="9" t="s">
        <v>48</v>
      </c>
      <c r="C14" s="16">
        <f>(C12+C13)*20%</f>
        <v>345.91</v>
      </c>
      <c r="D14" s="16">
        <f>(D12+D13)*20%</f>
        <v>902.142</v>
      </c>
      <c r="E14" s="16">
        <f>(E12+E13)*20%</f>
        <v>902.142</v>
      </c>
      <c r="F14" s="16">
        <f>(F12+F13)*20%</f>
        <v>714.956</v>
      </c>
      <c r="I14" s="171"/>
      <c r="J14" s="171"/>
      <c r="K14" s="171"/>
    </row>
    <row r="15" spans="1:6" ht="48" customHeight="1">
      <c r="A15" s="8">
        <v>5</v>
      </c>
      <c r="B15" s="10" t="s">
        <v>49</v>
      </c>
      <c r="C15" s="16">
        <f>C12+C14+C13</f>
        <v>2075.46</v>
      </c>
      <c r="D15" s="16">
        <f>D12+D14+D13</f>
        <v>5412.852</v>
      </c>
      <c r="E15" s="16">
        <f>E12+E14+E13</f>
        <v>5412.852</v>
      </c>
      <c r="F15" s="16">
        <f>F12+F14+F13</f>
        <v>4289.736</v>
      </c>
    </row>
    <row r="16" spans="1:6" ht="72.75" customHeight="1">
      <c r="A16" s="8"/>
      <c r="B16" s="9" t="s">
        <v>50</v>
      </c>
      <c r="C16" s="19">
        <v>0.239</v>
      </c>
      <c r="D16" s="17"/>
      <c r="E16" s="17"/>
      <c r="F16" s="17"/>
    </row>
    <row r="17" spans="1:6" ht="31.5" customHeight="1">
      <c r="A17" s="8">
        <v>8</v>
      </c>
      <c r="B17" s="9" t="s">
        <v>51</v>
      </c>
      <c r="C17" s="20">
        <v>178</v>
      </c>
      <c r="D17" s="17">
        <v>178</v>
      </c>
      <c r="E17" s="17">
        <v>178</v>
      </c>
      <c r="F17" s="17">
        <v>178</v>
      </c>
    </row>
    <row r="18" spans="1:6" ht="69.75" customHeight="1">
      <c r="A18" s="8">
        <v>9</v>
      </c>
      <c r="B18" s="9" t="s">
        <v>52</v>
      </c>
      <c r="C18" s="21">
        <v>0.041</v>
      </c>
      <c r="D18" s="17"/>
      <c r="E18" s="17"/>
      <c r="F18" s="17"/>
    </row>
    <row r="19" spans="1:3" ht="15.75" customHeight="1">
      <c r="A19" s="11"/>
      <c r="B19" s="12"/>
      <c r="C19" s="13"/>
    </row>
    <row r="21" spans="1:12" ht="15.75" customHeight="1">
      <c r="A21" s="88" t="s">
        <v>69</v>
      </c>
      <c r="B21" s="88" t="s">
        <v>106</v>
      </c>
      <c r="C21" s="88"/>
      <c r="D21" s="88"/>
      <c r="E21" s="23"/>
      <c r="F21" s="23"/>
      <c r="G21" s="23"/>
      <c r="H21" s="23"/>
      <c r="I21" s="23"/>
      <c r="J21" s="23"/>
      <c r="K21" s="23"/>
      <c r="L21" s="23"/>
    </row>
    <row r="22" spans="1:11" ht="15.75" customHeight="1">
      <c r="A22" s="88"/>
      <c r="B22" s="89"/>
      <c r="C22" s="90"/>
      <c r="D22" s="88"/>
      <c r="E22" s="23"/>
      <c r="F22" s="88" t="s">
        <v>70</v>
      </c>
      <c r="G22" s="23"/>
      <c r="H22" s="88"/>
      <c r="I22" s="23"/>
      <c r="J22" s="23"/>
      <c r="K22" s="23"/>
    </row>
    <row r="23" spans="1:11" ht="15.75" customHeight="1">
      <c r="A23" s="88"/>
      <c r="B23" s="88"/>
      <c r="C23" s="88"/>
      <c r="D23" s="88"/>
      <c r="E23" s="23"/>
      <c r="F23" s="23"/>
      <c r="G23" s="23"/>
      <c r="H23" s="23"/>
      <c r="I23" s="23"/>
      <c r="J23" s="23"/>
      <c r="K23" s="23"/>
    </row>
    <row r="24" spans="1:11" ht="15.75" customHeight="1">
      <c r="A24" s="183" t="s">
        <v>37</v>
      </c>
      <c r="B24" s="183"/>
      <c r="C24" s="183"/>
      <c r="D24" s="183"/>
      <c r="E24" s="2"/>
      <c r="F24" s="2"/>
      <c r="G24" s="23"/>
      <c r="H24" s="23"/>
      <c r="I24" s="23"/>
      <c r="J24" s="23"/>
      <c r="K24" s="23"/>
    </row>
    <row r="25" spans="1:11" ht="15.75" customHeight="1">
      <c r="A25" s="183" t="s">
        <v>53</v>
      </c>
      <c r="B25" s="183" t="s">
        <v>107</v>
      </c>
      <c r="C25" s="183"/>
      <c r="D25" s="183"/>
      <c r="E25" s="2"/>
      <c r="F25" s="2" t="s">
        <v>104</v>
      </c>
      <c r="G25" s="23"/>
      <c r="H25" s="23"/>
      <c r="I25" s="23"/>
      <c r="J25" s="23"/>
      <c r="K25" s="23"/>
    </row>
    <row r="26" spans="1:11" ht="15.75" customHeight="1">
      <c r="A26" s="183"/>
      <c r="B26" s="183"/>
      <c r="C26" s="183"/>
      <c r="D26" s="183"/>
      <c r="E26" s="2"/>
      <c r="F26" s="2"/>
      <c r="G26" s="23"/>
      <c r="H26" s="23"/>
      <c r="I26" s="23"/>
      <c r="J26" s="23"/>
      <c r="K26" s="23"/>
    </row>
    <row r="27" spans="1:11" ht="15.75" customHeight="1">
      <c r="A27" s="183"/>
      <c r="B27" s="183"/>
      <c r="C27" s="183"/>
      <c r="D27" s="183"/>
      <c r="E27" s="2"/>
      <c r="F27" s="2"/>
      <c r="G27" s="23"/>
      <c r="H27" s="23"/>
      <c r="I27" s="23"/>
      <c r="J27" s="23"/>
      <c r="K27" s="23"/>
    </row>
    <row r="28" spans="7:11" ht="15.75" customHeight="1">
      <c r="G28" s="23"/>
      <c r="H28" s="23"/>
      <c r="I28" s="23"/>
      <c r="J28" s="23"/>
      <c r="K28" s="23"/>
    </row>
  </sheetData>
  <sheetProtection/>
  <mergeCells count="4">
    <mergeCell ref="A7:F7"/>
    <mergeCell ref="A8:F8"/>
    <mergeCell ref="I13:K13"/>
    <mergeCell ref="I14:K14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60" zoomScalePageLayoutView="0" workbookViewId="0" topLeftCell="A15">
      <selection activeCell="E52" sqref="E52"/>
    </sheetView>
  </sheetViews>
  <sheetFormatPr defaultColWidth="20.140625" defaultRowHeight="15"/>
  <cols>
    <col min="1" max="1" width="10.57421875" style="0" customWidth="1"/>
    <col min="2" max="2" width="34.00390625" style="0" customWidth="1"/>
    <col min="3" max="3" width="10.8515625" style="0" customWidth="1"/>
    <col min="4" max="4" width="11.7109375" style="0" customWidth="1"/>
    <col min="5" max="5" width="13.28125" style="0" bestFit="1" customWidth="1"/>
    <col min="6" max="6" width="15.57421875" style="0" customWidth="1"/>
    <col min="7" max="7" width="10.7109375" style="0" customWidth="1"/>
    <col min="8" max="9" width="11.57421875" style="0" customWidth="1"/>
    <col min="10" max="10" width="14.8515625" style="0" customWidth="1"/>
    <col min="11" max="249" width="9.140625" style="0" customWidth="1"/>
    <col min="250" max="250" width="17.421875" style="0" customWidth="1"/>
  </cols>
  <sheetData>
    <row r="1" spans="9:10" ht="14.25" customHeight="1">
      <c r="I1" s="22" t="s">
        <v>101</v>
      </c>
      <c r="J1" s="1"/>
    </row>
    <row r="2" spans="9:10" ht="15.75">
      <c r="I2" s="182" t="s">
        <v>67</v>
      </c>
      <c r="J2" s="1"/>
    </row>
    <row r="3" spans="9:10" ht="15.75">
      <c r="I3" s="182" t="s">
        <v>68</v>
      </c>
      <c r="J3" s="1"/>
    </row>
    <row r="4" spans="1:10" ht="15.75">
      <c r="A4" s="102"/>
      <c r="B4" s="102"/>
      <c r="C4" s="102"/>
      <c r="D4" s="102"/>
      <c r="E4" s="102"/>
      <c r="F4" s="102"/>
      <c r="G4" s="102"/>
      <c r="H4" s="102"/>
      <c r="I4" s="182" t="s">
        <v>66</v>
      </c>
      <c r="J4" s="102"/>
    </row>
    <row r="5" spans="1:10" ht="15.75">
      <c r="A5" s="102"/>
      <c r="B5" s="102"/>
      <c r="C5" s="102"/>
      <c r="D5" s="102"/>
      <c r="E5" s="102"/>
      <c r="F5" s="102"/>
      <c r="G5" s="102"/>
      <c r="H5" s="102"/>
      <c r="I5" s="182"/>
      <c r="J5" s="102"/>
    </row>
    <row r="6" spans="1:10" ht="15.75">
      <c r="A6" s="180" t="s">
        <v>77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ht="15">
      <c r="A7" s="181" t="s">
        <v>78</v>
      </c>
      <c r="B7" s="181"/>
      <c r="C7" s="181"/>
      <c r="D7" s="181"/>
      <c r="E7" s="181"/>
      <c r="F7" s="181"/>
      <c r="G7" s="181"/>
      <c r="H7" s="181"/>
      <c r="I7" s="181"/>
      <c r="J7" s="181"/>
    </row>
    <row r="8" spans="1:10" ht="15">
      <c r="A8" s="103"/>
      <c r="B8" s="104"/>
      <c r="C8" s="104"/>
      <c r="D8" s="104"/>
      <c r="E8" s="104"/>
      <c r="F8" s="104"/>
      <c r="G8" s="104"/>
      <c r="H8" s="104"/>
      <c r="I8" s="104"/>
      <c r="J8" s="104"/>
    </row>
    <row r="9" spans="1:10" ht="28.5">
      <c r="A9" s="105" t="s">
        <v>79</v>
      </c>
      <c r="B9" s="106"/>
      <c r="C9" s="105" t="s">
        <v>80</v>
      </c>
      <c r="D9" s="105" t="s">
        <v>81</v>
      </c>
      <c r="E9" s="105" t="s">
        <v>82</v>
      </c>
      <c r="F9" s="105" t="s">
        <v>83</v>
      </c>
      <c r="G9" s="105" t="s">
        <v>84</v>
      </c>
      <c r="H9" s="105" t="s">
        <v>85</v>
      </c>
      <c r="I9" s="105" t="s">
        <v>86</v>
      </c>
      <c r="J9" s="105" t="s">
        <v>87</v>
      </c>
    </row>
    <row r="10" spans="1:10" ht="15" hidden="1">
      <c r="A10" s="107">
        <v>2014</v>
      </c>
      <c r="B10" s="108" t="s">
        <v>88</v>
      </c>
      <c r="C10" s="109" t="e">
        <f>#REF!*#REF!</f>
        <v>#REF!</v>
      </c>
      <c r="D10" s="109" t="e">
        <f>#REF!*#REF!</f>
        <v>#REF!</v>
      </c>
      <c r="E10" s="109" t="e">
        <f>#REF!*#REF!</f>
        <v>#REF!</v>
      </c>
      <c r="F10" s="109" t="e">
        <f>#REF!*#REF!</f>
        <v>#REF!</v>
      </c>
      <c r="G10" s="109" t="e">
        <f>#REF!*#REF!</f>
        <v>#REF!</v>
      </c>
      <c r="H10" s="109" t="e">
        <f>#REF!*#REF!</f>
        <v>#REF!</v>
      </c>
      <c r="I10" s="109" t="e">
        <f>#REF!*#REF!</f>
        <v>#REF!</v>
      </c>
      <c r="J10" s="110" t="e">
        <f>SUM(C10:I10)</f>
        <v>#REF!</v>
      </c>
    </row>
    <row r="11" spans="1:10" ht="15" hidden="1">
      <c r="A11" s="111">
        <v>2015</v>
      </c>
      <c r="B11" s="112" t="s">
        <v>88</v>
      </c>
      <c r="C11" s="113" t="e">
        <f>#REF!*#REF!</f>
        <v>#REF!</v>
      </c>
      <c r="D11" s="113" t="e">
        <f>#REF!*#REF!</f>
        <v>#REF!</v>
      </c>
      <c r="E11" s="113" t="e">
        <f>#REF!*#REF!</f>
        <v>#REF!</v>
      </c>
      <c r="F11" s="113" t="e">
        <f>#REF!*#REF!</f>
        <v>#REF!</v>
      </c>
      <c r="G11" s="113" t="e">
        <f>#REF!*#REF!</f>
        <v>#REF!</v>
      </c>
      <c r="H11" s="113" t="e">
        <f>#REF!*#REF!</f>
        <v>#REF!</v>
      </c>
      <c r="I11" s="113" t="e">
        <f>#REF!*#REF!</f>
        <v>#REF!</v>
      </c>
      <c r="J11" s="114" t="e">
        <f>SUM(C11:I11)</f>
        <v>#REF!</v>
      </c>
    </row>
    <row r="12" spans="1:10" ht="15" hidden="1">
      <c r="A12" s="115"/>
      <c r="B12" s="116"/>
      <c r="C12" s="116"/>
      <c r="D12" s="116"/>
      <c r="E12" s="116"/>
      <c r="F12" s="116"/>
      <c r="G12" s="116"/>
      <c r="H12" s="116"/>
      <c r="I12" s="117"/>
      <c r="J12" s="118"/>
    </row>
    <row r="13" spans="1:10" ht="15" hidden="1">
      <c r="A13" s="172">
        <v>2016</v>
      </c>
      <c r="B13" s="112" t="s">
        <v>88</v>
      </c>
      <c r="C13" s="113">
        <f>C16*C17</f>
        <v>86.8</v>
      </c>
      <c r="D13" s="113">
        <f aca="true" t="shared" si="0" ref="D13:I13">D16*D17</f>
        <v>-5.800000000000001</v>
      </c>
      <c r="E13" s="113">
        <f t="shared" si="0"/>
        <v>-176.70000000000002</v>
      </c>
      <c r="F13" s="113">
        <f t="shared" si="0"/>
        <v>-31</v>
      </c>
      <c r="G13" s="113">
        <f t="shared" si="0"/>
        <v>-112.19999999999999</v>
      </c>
      <c r="H13" s="113">
        <f t="shared" si="0"/>
        <v>126</v>
      </c>
      <c r="I13" s="113">
        <f t="shared" si="0"/>
        <v>189.1</v>
      </c>
      <c r="J13" s="114">
        <f>SUM(C13:I13)</f>
        <v>76.19999999999999</v>
      </c>
    </row>
    <row r="14" spans="1:10" ht="15">
      <c r="A14" s="173"/>
      <c r="B14" s="119" t="s">
        <v>89</v>
      </c>
      <c r="C14" s="120">
        <v>12345.71</v>
      </c>
      <c r="D14" s="120">
        <v>12356.31</v>
      </c>
      <c r="E14" s="120">
        <v>12356.313</v>
      </c>
      <c r="F14" s="120">
        <v>12356.31</v>
      </c>
      <c r="G14" s="120">
        <v>12445.91</v>
      </c>
      <c r="H14" s="120">
        <v>12375.16</v>
      </c>
      <c r="I14" s="120">
        <v>12389.86</v>
      </c>
      <c r="J14" s="121">
        <f>(C14+D14+E14+F14+G14+H14+I14)/7</f>
        <v>12375.081857142857</v>
      </c>
    </row>
    <row r="15" spans="1:10" ht="15">
      <c r="A15" s="173"/>
      <c r="B15" s="119" t="s">
        <v>90</v>
      </c>
      <c r="C15" s="122">
        <v>723.63</v>
      </c>
      <c r="D15" s="122">
        <v>452.726</v>
      </c>
      <c r="E15" s="122">
        <v>418.857</v>
      </c>
      <c r="F15" s="122">
        <v>53.302</v>
      </c>
      <c r="G15" s="122">
        <v>285.442</v>
      </c>
      <c r="H15" s="122">
        <v>469.51</v>
      </c>
      <c r="I15" s="122">
        <v>632.42</v>
      </c>
      <c r="J15" s="121">
        <f>SUM(C15:I15)</f>
        <v>3035.8869999999997</v>
      </c>
    </row>
    <row r="16" spans="1:10" ht="15" hidden="1">
      <c r="A16" s="173"/>
      <c r="B16" s="123" t="s">
        <v>91</v>
      </c>
      <c r="C16" s="124">
        <v>2.8</v>
      </c>
      <c r="D16" s="124">
        <v>-0.2</v>
      </c>
      <c r="E16" s="124">
        <v>-5.7</v>
      </c>
      <c r="F16" s="124">
        <v>-6.2</v>
      </c>
      <c r="G16" s="124">
        <v>-5.1</v>
      </c>
      <c r="H16" s="124">
        <v>4.2</v>
      </c>
      <c r="I16" s="124">
        <v>6.1</v>
      </c>
      <c r="J16" s="125">
        <f>J13/J17</f>
        <v>0.4256983240223463</v>
      </c>
    </row>
    <row r="17" spans="1:10" ht="15.75" thickBot="1">
      <c r="A17" s="174"/>
      <c r="B17" s="126" t="s">
        <v>92</v>
      </c>
      <c r="C17" s="126">
        <v>31</v>
      </c>
      <c r="D17" s="126">
        <v>29</v>
      </c>
      <c r="E17" s="126">
        <v>31</v>
      </c>
      <c r="F17" s="126">
        <v>5</v>
      </c>
      <c r="G17" s="126">
        <v>22</v>
      </c>
      <c r="H17" s="126">
        <v>30</v>
      </c>
      <c r="I17" s="126">
        <v>31</v>
      </c>
      <c r="J17" s="127">
        <f>SUM(C17:I17)</f>
        <v>179</v>
      </c>
    </row>
    <row r="18" spans="1:10" ht="15" hidden="1">
      <c r="A18" s="128"/>
      <c r="B18" s="129"/>
      <c r="C18" s="129"/>
      <c r="D18" s="129"/>
      <c r="E18" s="129"/>
      <c r="F18" s="129"/>
      <c r="G18" s="129"/>
      <c r="H18" s="129"/>
      <c r="I18" s="129"/>
      <c r="J18" s="129"/>
    </row>
    <row r="19" spans="1:10" ht="15" hidden="1">
      <c r="A19" s="172">
        <v>2017</v>
      </c>
      <c r="B19" s="112" t="s">
        <v>88</v>
      </c>
      <c r="C19" s="113">
        <f>C23*C22</f>
        <v>207.70000000000002</v>
      </c>
      <c r="D19" s="113">
        <f aca="true" t="shared" si="1" ref="D19:I19">D23*D22</f>
        <v>44.800000000000004</v>
      </c>
      <c r="E19" s="113">
        <f t="shared" si="1"/>
        <v>71.3</v>
      </c>
      <c r="F19" s="113">
        <f t="shared" si="1"/>
        <v>-34.4</v>
      </c>
      <c r="G19" s="113">
        <f t="shared" si="1"/>
        <v>-107.1</v>
      </c>
      <c r="H19" s="113">
        <f t="shared" si="1"/>
        <v>-135</v>
      </c>
      <c r="I19" s="113">
        <f t="shared" si="1"/>
        <v>204.6</v>
      </c>
      <c r="J19" s="114">
        <f>SUM(C19:I19)</f>
        <v>251.90000000000003</v>
      </c>
    </row>
    <row r="20" spans="1:10" ht="15">
      <c r="A20" s="173"/>
      <c r="B20" s="119" t="s">
        <v>89</v>
      </c>
      <c r="C20" s="120">
        <v>12397.5</v>
      </c>
      <c r="D20" s="120">
        <v>10710.26</v>
      </c>
      <c r="E20" s="120">
        <v>10710.26</v>
      </c>
      <c r="F20" s="120">
        <v>10710.26</v>
      </c>
      <c r="G20" s="120">
        <v>4998.92</v>
      </c>
      <c r="H20" s="120">
        <v>2033.42</v>
      </c>
      <c r="I20" s="120">
        <v>2033.42</v>
      </c>
      <c r="J20" s="121">
        <f>(C20+D20+E20+F20+G20+H20+I20)/7</f>
        <v>7656.291428571429</v>
      </c>
    </row>
    <row r="21" spans="1:10" ht="15">
      <c r="A21" s="173"/>
      <c r="B21" s="119" t="s">
        <v>90</v>
      </c>
      <c r="C21" s="122">
        <v>618.832</v>
      </c>
      <c r="D21" s="122">
        <v>474.145</v>
      </c>
      <c r="E21" s="122">
        <v>313.606</v>
      </c>
      <c r="F21" s="122">
        <v>17.454</v>
      </c>
      <c r="G21" s="122">
        <v>79.601</v>
      </c>
      <c r="H21" s="122">
        <v>82.19</v>
      </c>
      <c r="I21" s="122">
        <v>81.304</v>
      </c>
      <c r="J21" s="130">
        <f>SUM(C21:I21)</f>
        <v>1667.132</v>
      </c>
    </row>
    <row r="22" spans="1:10" ht="15" hidden="1">
      <c r="A22" s="173"/>
      <c r="B22" s="123" t="s">
        <v>91</v>
      </c>
      <c r="C22" s="124">
        <v>6.7</v>
      </c>
      <c r="D22" s="124">
        <v>1.6</v>
      </c>
      <c r="E22" s="124">
        <v>2.3</v>
      </c>
      <c r="F22" s="124">
        <v>-4.3</v>
      </c>
      <c r="G22" s="124">
        <v>-6.3</v>
      </c>
      <c r="H22" s="124">
        <v>-4.5</v>
      </c>
      <c r="I22" s="124">
        <v>6.6</v>
      </c>
      <c r="J22" s="131">
        <f>J19/J23</f>
        <v>1.4312500000000001</v>
      </c>
    </row>
    <row r="23" spans="1:10" ht="15.75" thickBot="1">
      <c r="A23" s="174"/>
      <c r="B23" s="126" t="s">
        <v>92</v>
      </c>
      <c r="C23" s="126">
        <v>31</v>
      </c>
      <c r="D23" s="126">
        <v>28</v>
      </c>
      <c r="E23" s="126">
        <v>31</v>
      </c>
      <c r="F23" s="126">
        <v>8</v>
      </c>
      <c r="G23" s="126">
        <v>17</v>
      </c>
      <c r="H23" s="126">
        <v>30</v>
      </c>
      <c r="I23" s="126">
        <v>31</v>
      </c>
      <c r="J23" s="127">
        <f>SUM(C23:I23)</f>
        <v>176</v>
      </c>
    </row>
    <row r="24" spans="1:10" ht="15" hidden="1">
      <c r="A24" s="132"/>
      <c r="B24" s="104"/>
      <c r="C24" s="104"/>
      <c r="D24" s="104"/>
      <c r="E24" s="104"/>
      <c r="F24" s="104"/>
      <c r="G24" s="104"/>
      <c r="H24" s="104"/>
      <c r="I24" s="104"/>
      <c r="J24" s="118"/>
    </row>
    <row r="25" spans="1:10" ht="15" hidden="1">
      <c r="A25" s="172">
        <v>2018</v>
      </c>
      <c r="B25" s="112" t="s">
        <v>93</v>
      </c>
      <c r="C25" s="113">
        <f>C28*C29</f>
        <v>257.3</v>
      </c>
      <c r="D25" s="113">
        <f aca="true" t="shared" si="2" ref="D25:I25">D28*D29</f>
        <v>-33.6</v>
      </c>
      <c r="E25" s="113">
        <f t="shared" si="2"/>
        <v>-114.7</v>
      </c>
      <c r="F25" s="113">
        <f t="shared" si="2"/>
        <v>-53.1</v>
      </c>
      <c r="G25" s="113">
        <f t="shared" si="2"/>
        <v>-24</v>
      </c>
      <c r="H25" s="113">
        <f t="shared" si="2"/>
        <v>78</v>
      </c>
      <c r="I25" s="113">
        <f t="shared" si="2"/>
        <v>266.59999999999997</v>
      </c>
      <c r="J25" s="114">
        <f>SUM(C25:I25)</f>
        <v>376.5</v>
      </c>
    </row>
    <row r="26" spans="1:10" ht="15.75" customHeight="1">
      <c r="A26" s="173"/>
      <c r="B26" s="119" t="s">
        <v>89</v>
      </c>
      <c r="C26" s="133">
        <v>2033.42</v>
      </c>
      <c r="D26" s="133">
        <v>2033.42</v>
      </c>
      <c r="E26" s="133">
        <v>2033.42</v>
      </c>
      <c r="F26" s="133">
        <v>1988.92</v>
      </c>
      <c r="G26" s="133">
        <v>1543.6</v>
      </c>
      <c r="H26" s="133">
        <v>1543.6</v>
      </c>
      <c r="I26" s="133">
        <v>1489.3</v>
      </c>
      <c r="J26" s="134">
        <f>(C26+D26+E26+F26+G26+H26+I26)/7</f>
        <v>1809.3828571428571</v>
      </c>
    </row>
    <row r="27" spans="1:10" ht="15">
      <c r="A27" s="173"/>
      <c r="B27" s="119" t="s">
        <v>90</v>
      </c>
      <c r="C27" s="122">
        <v>115.496</v>
      </c>
      <c r="D27" s="122">
        <v>113.672</v>
      </c>
      <c r="E27" s="122">
        <v>116.127</v>
      </c>
      <c r="F27" s="122">
        <v>16.776</v>
      </c>
      <c r="G27" s="122">
        <v>14.458</v>
      </c>
      <c r="H27" s="122">
        <v>74.573</v>
      </c>
      <c r="I27" s="122">
        <v>83.948</v>
      </c>
      <c r="J27" s="130">
        <f>SUM(C27:I27)</f>
        <v>535.0500000000001</v>
      </c>
    </row>
    <row r="28" spans="1:10" ht="15" hidden="1">
      <c r="A28" s="173"/>
      <c r="B28" s="123" t="s">
        <v>91</v>
      </c>
      <c r="C28" s="124">
        <v>8.3</v>
      </c>
      <c r="D28" s="124">
        <v>-1.2</v>
      </c>
      <c r="E28" s="124">
        <v>-3.7</v>
      </c>
      <c r="F28" s="124">
        <v>-5.9</v>
      </c>
      <c r="G28" s="124">
        <v>-2</v>
      </c>
      <c r="H28" s="124">
        <v>2.6</v>
      </c>
      <c r="I28" s="124">
        <v>8.6</v>
      </c>
      <c r="J28" s="125">
        <f>J25/J29</f>
        <v>2.188953488372093</v>
      </c>
    </row>
    <row r="29" spans="1:10" ht="15.75" thickBot="1">
      <c r="A29" s="174"/>
      <c r="B29" s="126" t="s">
        <v>92</v>
      </c>
      <c r="C29" s="126">
        <v>31</v>
      </c>
      <c r="D29" s="126">
        <v>28</v>
      </c>
      <c r="E29" s="126">
        <v>31</v>
      </c>
      <c r="F29" s="126">
        <v>9</v>
      </c>
      <c r="G29" s="126">
        <v>12</v>
      </c>
      <c r="H29" s="126">
        <v>30</v>
      </c>
      <c r="I29" s="126">
        <v>31</v>
      </c>
      <c r="J29" s="127">
        <f>SUM(C29:I29)</f>
        <v>172</v>
      </c>
    </row>
    <row r="30" spans="1:10" ht="15" hidden="1">
      <c r="A30" s="172">
        <v>2019</v>
      </c>
      <c r="B30" s="112" t="s">
        <v>93</v>
      </c>
      <c r="C30" s="113">
        <f>C33*C34</f>
        <v>-173.6</v>
      </c>
      <c r="D30" s="113">
        <f aca="true" t="shared" si="3" ref="D30:I30">D33*D34</f>
        <v>-89.60000000000001</v>
      </c>
      <c r="E30" s="113">
        <f t="shared" si="3"/>
        <v>49.6</v>
      </c>
      <c r="F30" s="113">
        <f t="shared" si="3"/>
        <v>51.2</v>
      </c>
      <c r="G30" s="113">
        <f t="shared" si="3"/>
        <v>105.4</v>
      </c>
      <c r="H30" s="113">
        <f t="shared" si="3"/>
        <v>39</v>
      </c>
      <c r="I30" s="113">
        <f t="shared" si="3"/>
        <v>-37.199999999999996</v>
      </c>
      <c r="J30" s="114">
        <f>SUM(C30:I30)</f>
        <v>-55.19999999999997</v>
      </c>
    </row>
    <row r="31" spans="1:10" ht="15">
      <c r="A31" s="173"/>
      <c r="B31" s="119" t="s">
        <v>89</v>
      </c>
      <c r="C31" s="133">
        <v>1074.1</v>
      </c>
      <c r="D31" s="133">
        <v>1074.1</v>
      </c>
      <c r="E31" s="133">
        <v>1074.1</v>
      </c>
      <c r="F31" s="133">
        <v>1074.1</v>
      </c>
      <c r="G31" s="133">
        <v>891.4</v>
      </c>
      <c r="H31" s="133">
        <v>891.4</v>
      </c>
      <c r="I31" s="133">
        <v>891.4</v>
      </c>
      <c r="J31" s="134">
        <f>(C31+D31+E31+F31+G31+H31+I31)/7</f>
        <v>995.7999999999998</v>
      </c>
    </row>
    <row r="32" spans="1:10" ht="15">
      <c r="A32" s="173"/>
      <c r="B32" s="119" t="s">
        <v>90</v>
      </c>
      <c r="C32" s="122">
        <v>74.088</v>
      </c>
      <c r="D32" s="122">
        <v>49.408</v>
      </c>
      <c r="E32" s="122">
        <v>16.015</v>
      </c>
      <c r="F32" s="122">
        <v>7.728</v>
      </c>
      <c r="G32" s="122">
        <v>9.832</v>
      </c>
      <c r="H32" s="122">
        <v>32.193</v>
      </c>
      <c r="I32" s="122">
        <v>37.453</v>
      </c>
      <c r="J32" s="130">
        <f>SUM(C32:I32)</f>
        <v>226.717</v>
      </c>
    </row>
    <row r="33" spans="1:10" ht="15" hidden="1">
      <c r="A33" s="173"/>
      <c r="B33" s="123" t="s">
        <v>91</v>
      </c>
      <c r="C33" s="124">
        <v>-5.6</v>
      </c>
      <c r="D33" s="124">
        <v>-3.2</v>
      </c>
      <c r="E33" s="124">
        <v>1.6</v>
      </c>
      <c r="F33" s="124">
        <v>6.4</v>
      </c>
      <c r="G33" s="124">
        <v>6.2</v>
      </c>
      <c r="H33" s="124">
        <v>1.3</v>
      </c>
      <c r="I33" s="124">
        <v>-1.2</v>
      </c>
      <c r="J33" s="125">
        <f>J30/J34</f>
        <v>-0.31363636363636344</v>
      </c>
    </row>
    <row r="34" spans="1:10" ht="15.75" thickBot="1">
      <c r="A34" s="174"/>
      <c r="B34" s="126" t="s">
        <v>92</v>
      </c>
      <c r="C34" s="126">
        <v>31</v>
      </c>
      <c r="D34" s="126">
        <v>28</v>
      </c>
      <c r="E34" s="126">
        <v>31</v>
      </c>
      <c r="F34" s="126">
        <v>8</v>
      </c>
      <c r="G34" s="126">
        <v>17</v>
      </c>
      <c r="H34" s="126">
        <v>30</v>
      </c>
      <c r="I34" s="126">
        <v>31</v>
      </c>
      <c r="J34" s="127">
        <f>SUM(C34:I34)</f>
        <v>176</v>
      </c>
    </row>
    <row r="35" spans="1:10" ht="15" hidden="1">
      <c r="A35" s="172">
        <v>2020</v>
      </c>
      <c r="B35" s="112" t="s">
        <v>93</v>
      </c>
      <c r="C35" s="113">
        <f>C38*C39</f>
        <v>-173.6</v>
      </c>
      <c r="D35" s="113">
        <f aca="true" t="shared" si="4" ref="D35:I35">D38*D39</f>
        <v>-89.60000000000001</v>
      </c>
      <c r="E35" s="113">
        <f t="shared" si="4"/>
        <v>49.6</v>
      </c>
      <c r="F35" s="113">
        <f t="shared" si="4"/>
        <v>57.6</v>
      </c>
      <c r="G35" s="113">
        <f t="shared" si="4"/>
        <v>80.60000000000001</v>
      </c>
      <c r="H35" s="113">
        <f t="shared" si="4"/>
        <v>39</v>
      </c>
      <c r="I35" s="113">
        <f t="shared" si="4"/>
        <v>-37.199999999999996</v>
      </c>
      <c r="J35" s="114">
        <f>SUM(C35:I35)</f>
        <v>-73.6</v>
      </c>
    </row>
    <row r="36" spans="1:10" ht="15">
      <c r="A36" s="173"/>
      <c r="B36" s="119" t="s">
        <v>89</v>
      </c>
      <c r="C36" s="133">
        <v>891.4</v>
      </c>
      <c r="D36" s="133">
        <v>891.4</v>
      </c>
      <c r="E36" s="133">
        <v>891.4</v>
      </c>
      <c r="F36" s="133">
        <v>915.4</v>
      </c>
      <c r="G36" s="133">
        <v>856.7</v>
      </c>
      <c r="H36" s="133">
        <v>826.1</v>
      </c>
      <c r="I36" s="133">
        <v>700.2</v>
      </c>
      <c r="J36" s="134">
        <f>(C36+D36+E36+F36+G36+H36+I36)/7</f>
        <v>853.2285714285715</v>
      </c>
    </row>
    <row r="37" spans="1:10" ht="15">
      <c r="A37" s="173"/>
      <c r="B37" s="119" t="s">
        <v>90</v>
      </c>
      <c r="C37" s="122">
        <v>40.757</v>
      </c>
      <c r="D37" s="122">
        <v>38.057</v>
      </c>
      <c r="E37" s="122">
        <v>27.323</v>
      </c>
      <c r="F37" s="122">
        <v>7.167</v>
      </c>
      <c r="G37" s="122">
        <v>7.508</v>
      </c>
      <c r="H37" s="122">
        <v>31.063</v>
      </c>
      <c r="I37" s="122">
        <v>38.086</v>
      </c>
      <c r="J37" s="130">
        <f>SUM(C37:I37)</f>
        <v>189.961</v>
      </c>
    </row>
    <row r="38" spans="1:10" ht="15" hidden="1">
      <c r="A38" s="173"/>
      <c r="B38" s="123" t="s">
        <v>91</v>
      </c>
      <c r="C38" s="124">
        <v>-5.6</v>
      </c>
      <c r="D38" s="124">
        <v>-3.2</v>
      </c>
      <c r="E38" s="124">
        <v>1.6</v>
      </c>
      <c r="F38" s="124">
        <v>6.4</v>
      </c>
      <c r="G38" s="124">
        <v>6.2</v>
      </c>
      <c r="H38" s="124">
        <v>1.3</v>
      </c>
      <c r="I38" s="124">
        <v>-1.2</v>
      </c>
      <c r="J38" s="125">
        <f>J35/J39</f>
        <v>-0.42543352601156065</v>
      </c>
    </row>
    <row r="39" spans="1:10" ht="15.75" thickBot="1">
      <c r="A39" s="174"/>
      <c r="B39" s="126" t="s">
        <v>92</v>
      </c>
      <c r="C39" s="126">
        <v>31</v>
      </c>
      <c r="D39" s="126">
        <v>28</v>
      </c>
      <c r="E39" s="126">
        <v>31</v>
      </c>
      <c r="F39" s="126">
        <v>9</v>
      </c>
      <c r="G39" s="126">
        <v>13</v>
      </c>
      <c r="H39" s="126">
        <v>30</v>
      </c>
      <c r="I39" s="126">
        <v>31</v>
      </c>
      <c r="J39" s="127">
        <f>SUM(C39:I39)</f>
        <v>173</v>
      </c>
    </row>
    <row r="40" spans="1:10" ht="15">
      <c r="A40" s="135"/>
      <c r="B40" s="116"/>
      <c r="C40" s="116"/>
      <c r="D40" s="116"/>
      <c r="E40" s="116"/>
      <c r="F40" s="116"/>
      <c r="G40" s="116"/>
      <c r="H40" s="116"/>
      <c r="I40" s="116"/>
      <c r="J40" s="116"/>
    </row>
    <row r="41" spans="1:10" ht="15">
      <c r="A41" s="135"/>
      <c r="B41" s="116"/>
      <c r="C41" s="116"/>
      <c r="D41" s="116"/>
      <c r="E41" s="116"/>
      <c r="F41" s="116"/>
      <c r="G41" s="116"/>
      <c r="H41" s="116"/>
      <c r="I41" s="116"/>
      <c r="J41" s="116"/>
    </row>
    <row r="42" spans="1:10" ht="12" customHeight="1">
      <c r="A42" s="136"/>
      <c r="B42" s="137"/>
      <c r="C42" s="137"/>
      <c r="D42" s="137"/>
      <c r="E42" s="137"/>
      <c r="F42" s="137"/>
      <c r="G42" s="137"/>
      <c r="H42" s="137"/>
      <c r="I42" s="137"/>
      <c r="J42" s="138"/>
    </row>
    <row r="43" spans="1:10" ht="33.75" customHeight="1">
      <c r="A43" s="175" t="s">
        <v>94</v>
      </c>
      <c r="B43" s="119" t="s">
        <v>95</v>
      </c>
      <c r="C43" s="139">
        <f>(J14+J20+J26+J31+J36)/5</f>
        <v>4737.956942857143</v>
      </c>
      <c r="E43" s="176" t="s">
        <v>96</v>
      </c>
      <c r="F43" s="176"/>
      <c r="G43" s="140"/>
      <c r="J43" s="61"/>
    </row>
    <row r="44" spans="1:6" ht="15">
      <c r="A44" s="175"/>
      <c r="B44" s="119" t="s">
        <v>97</v>
      </c>
      <c r="C44" s="139">
        <f>(J15+J21+J27+J32+J37)/5</f>
        <v>1130.9494</v>
      </c>
      <c r="E44" s="141">
        <f>C44/C43</f>
        <v>0.23869980534647925</v>
      </c>
      <c r="F44" s="15" t="s">
        <v>98</v>
      </c>
    </row>
    <row r="45" spans="1:6" ht="15">
      <c r="A45" s="175"/>
      <c r="B45" s="177" t="s">
        <v>99</v>
      </c>
      <c r="C45" s="178">
        <f>(J17+J23+J29+J34+J39)/5</f>
        <v>175.2</v>
      </c>
      <c r="E45" s="141">
        <f>(E44/C45)*30.29</f>
        <v>0.041268362465438684</v>
      </c>
      <c r="F45" s="15" t="s">
        <v>100</v>
      </c>
    </row>
    <row r="46" spans="1:3" ht="0.75" customHeight="1">
      <c r="A46" s="175"/>
      <c r="B46" s="177"/>
      <c r="C46" s="179"/>
    </row>
    <row r="47" spans="1:3" ht="15">
      <c r="A47" s="142"/>
      <c r="B47" s="143"/>
      <c r="C47" s="144"/>
    </row>
    <row r="48" spans="1:10" ht="15">
      <c r="A48" s="145"/>
      <c r="B48" s="145"/>
      <c r="C48" s="145"/>
      <c r="D48" s="145"/>
      <c r="E48" s="145"/>
      <c r="F48" s="145"/>
      <c r="G48" s="145"/>
      <c r="H48" s="145"/>
      <c r="I48" s="145"/>
      <c r="J48" s="145"/>
    </row>
    <row r="49" spans="1:12" ht="15">
      <c r="A49" s="88" t="s">
        <v>105</v>
      </c>
      <c r="B49" s="88" t="s">
        <v>102</v>
      </c>
      <c r="C49" s="88"/>
      <c r="D49" s="88"/>
      <c r="E49" s="23"/>
      <c r="F49" s="23"/>
      <c r="G49" s="23"/>
      <c r="H49" s="23"/>
      <c r="I49" s="23"/>
      <c r="J49" s="23"/>
      <c r="K49" s="23"/>
      <c r="L49" s="23"/>
    </row>
    <row r="50" spans="1:11" ht="15.75">
      <c r="A50" s="88"/>
      <c r="B50" s="89"/>
      <c r="C50" s="90"/>
      <c r="D50" s="88"/>
      <c r="E50" s="23"/>
      <c r="F50" s="88"/>
      <c r="G50" s="23"/>
      <c r="H50" s="88"/>
      <c r="I50" s="23"/>
      <c r="J50" s="88" t="s">
        <v>70</v>
      </c>
      <c r="K50" s="23"/>
    </row>
    <row r="51" spans="1:11" ht="15">
      <c r="A51" s="88"/>
      <c r="B51" s="88"/>
      <c r="C51" s="88"/>
      <c r="D51" s="88"/>
      <c r="E51" s="23"/>
      <c r="F51" s="23"/>
      <c r="G51" s="23"/>
      <c r="H51" s="23"/>
      <c r="I51" s="23"/>
      <c r="J51" s="23"/>
      <c r="K51" s="23"/>
    </row>
    <row r="52" spans="1:9" ht="15">
      <c r="A52" s="183" t="s">
        <v>37</v>
      </c>
      <c r="B52" s="183"/>
      <c r="C52" s="183"/>
      <c r="D52" s="183"/>
      <c r="E52" s="2"/>
      <c r="F52" s="2"/>
      <c r="G52" s="2"/>
      <c r="H52" s="2"/>
      <c r="I52" s="2"/>
    </row>
    <row r="53" spans="1:10" ht="15">
      <c r="A53" s="183" t="s">
        <v>103</v>
      </c>
      <c r="B53" s="183"/>
      <c r="C53" s="183"/>
      <c r="D53" s="183"/>
      <c r="E53" s="2"/>
      <c r="F53" s="2"/>
      <c r="G53" s="2"/>
      <c r="H53" s="2"/>
      <c r="I53" s="2"/>
      <c r="J53" t="s">
        <v>104</v>
      </c>
    </row>
  </sheetData>
  <sheetProtection/>
  <mergeCells count="11">
    <mergeCell ref="A30:A34"/>
    <mergeCell ref="A35:A39"/>
    <mergeCell ref="A43:A46"/>
    <mergeCell ref="E43:F43"/>
    <mergeCell ref="B45:B46"/>
    <mergeCell ref="C45:C46"/>
    <mergeCell ref="A6:J6"/>
    <mergeCell ref="A7:J7"/>
    <mergeCell ref="A13:A17"/>
    <mergeCell ref="A19:A23"/>
    <mergeCell ref="A25:A29"/>
  </mergeCells>
  <printOptions/>
  <pageMargins left="0.7" right="0.7" top="0.75" bottom="0.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2020-07-02T07:04:04Z</cp:lastPrinted>
  <dcterms:created xsi:type="dcterms:W3CDTF">2015-06-05T18:19:34Z</dcterms:created>
  <dcterms:modified xsi:type="dcterms:W3CDTF">2021-09-29T07:26:43Z</dcterms:modified>
  <cp:category/>
  <cp:version/>
  <cp:contentType/>
  <cp:contentStatus/>
</cp:coreProperties>
</file>