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0920" activeTab="0"/>
  </bookViews>
  <sheets>
    <sheet name="дод2" sheetId="1" r:id="rId1"/>
  </sheets>
  <definedNames>
    <definedName name="Z_8A73F535_8732_49D4_9AB7_2B3508B59BED_.wvu.PrintArea" localSheetId="0" hidden="1">'дод2'!$B$1:$Q$163</definedName>
    <definedName name="Z_8A73F535_8732_49D4_9AB7_2B3508B59BED_.wvu.PrintTitles" localSheetId="0" hidden="1">'дод2'!$5:$8</definedName>
    <definedName name="Z_8A73F535_8732_49D4_9AB7_2B3508B59BED_.wvu.Rows" localSheetId="0" hidden="1">'дод2'!#REF!</definedName>
    <definedName name="Z_97C1028C_4471_4C1C_9637_67FD80F9F4AA_.wvu.PrintArea" localSheetId="0" hidden="1">'дод2'!$B$1:$Q$163</definedName>
    <definedName name="Z_97C1028C_4471_4C1C_9637_67FD80F9F4AA_.wvu.PrintTitles" localSheetId="0" hidden="1">'дод2'!$5:$8</definedName>
    <definedName name="Z_A821A792_EC5A_4DD5_BAF0_FABCD4A88232_.wvu.PrintArea" localSheetId="0" hidden="1">'дод2'!$B$1:$Q$163</definedName>
    <definedName name="Z_A821A792_EC5A_4DD5_BAF0_FABCD4A88232_.wvu.PrintTitles" localSheetId="0" hidden="1">'дод2'!$5:$8</definedName>
    <definedName name="_xlnm.Print_Titles" localSheetId="0">'дод2'!$5:$9</definedName>
    <definedName name="_xlnm.Print_Area" localSheetId="0">'дод2'!$B$1:$Q$164</definedName>
  </definedNames>
  <calcPr fullCalcOnLoad="1"/>
</workbook>
</file>

<file path=xl/sharedStrings.xml><?xml version="1.0" encoding="utf-8"?>
<sst xmlns="http://schemas.openxmlformats.org/spreadsheetml/2006/main" count="385" uniqueCount="297">
  <si>
    <t>1010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</si>
  <si>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</si>
  <si>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0828</t>
  </si>
  <si>
    <t>0320</t>
  </si>
  <si>
    <t>1040</t>
  </si>
  <si>
    <t>1090</t>
  </si>
  <si>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</si>
  <si>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</si>
  <si>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</si>
  <si>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</si>
  <si>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</si>
  <si>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</si>
  <si>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</si>
  <si>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</si>
  <si>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</si>
  <si>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0960</t>
  </si>
  <si>
    <t>1070</t>
  </si>
  <si>
    <t>0950</t>
  </si>
  <si>
    <t>0990</t>
  </si>
  <si>
    <t>0490</t>
  </si>
  <si>
    <t>0100000</t>
  </si>
  <si>
    <t>0110000</t>
  </si>
  <si>
    <t>0111</t>
  </si>
  <si>
    <t>0829</t>
  </si>
  <si>
    <t>0133</t>
  </si>
  <si>
    <t>0824</t>
  </si>
  <si>
    <t>0830</t>
  </si>
  <si>
    <t>0810</t>
  </si>
  <si>
    <t>0731</t>
  </si>
  <si>
    <t>Багатопрофільна стаціонарна медична допомога населенню, з них:</t>
  </si>
  <si>
    <t>1020</t>
  </si>
  <si>
    <t>0921</t>
  </si>
  <si>
    <t>Компенсаційні виплати на пільговий проїзд автомобільним транспортом окремим категоріям громадян</t>
  </si>
  <si>
    <t>5031</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</si>
  <si>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</si>
  <si>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</si>
  <si>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Надання пільг окремим категоріям громадян з оплати послуг зв’язку</t>
  </si>
  <si>
    <t>0456</t>
  </si>
  <si>
    <t>0110150</t>
  </si>
  <si>
    <t>0150</t>
  </si>
  <si>
    <t>2111</t>
  </si>
  <si>
    <t>8410</t>
  </si>
  <si>
    <t>Фінансова підтримка засобів масової інформації</t>
  </si>
  <si>
    <t>7693</t>
  </si>
  <si>
    <t>Інші заходи, пов'язані з економічною діяльністю</t>
  </si>
  <si>
    <t>8110</t>
  </si>
  <si>
    <t>0600000</t>
  </si>
  <si>
    <t>0610000</t>
  </si>
  <si>
    <t>Утримання та навчально-тренувальна робота комунальних дитячо-юнацьких спортивних шкіл</t>
  </si>
  <si>
    <t>Компенсаційні виплати за пільговий проїзд окремих категорій громадян на залізничному транспорті</t>
  </si>
  <si>
    <t>Забезпечення діяльності бібліотек</t>
  </si>
  <si>
    <t>Забезпечення діяльності музеїв i виставок</t>
  </si>
  <si>
    <t>Забезпечення діяльності палаців i будинків культури, клубів, центрів дозвілля та iнших клубних закладів</t>
  </si>
  <si>
    <t xml:space="preserve">Підвищення кваліфікації, перепідготовка кадрів закладами післядипломної освіти </t>
  </si>
  <si>
    <t>Забезпечення діяльності інших закладів у сфері освіти</t>
  </si>
  <si>
    <t>Інші програми та заходи у сфері освіти</t>
  </si>
  <si>
    <t>7680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</si>
  <si>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</si>
  <si>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Інші заходи у сфері соціального захисту і соціального забезпечення</t>
  </si>
  <si>
    <t>0726</t>
  </si>
  <si>
    <t>Інші заходи в галузі культури і мистецтва</t>
  </si>
  <si>
    <t>3133</t>
  </si>
  <si>
    <t>Інші заходи та заклади молодіжної політики</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</si>
  <si>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</si>
  <si>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</si>
  <si>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</si>
  <si>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усього</t>
  </si>
  <si>
    <t>у тому числі бюджет розвитку</t>
  </si>
  <si>
    <t xml:space="preserve"> (грн)</t>
  </si>
  <si>
    <t>Заходи із запобігання та ліквідації надзвичайних ситуацій та наслідків стихійного лиха</t>
  </si>
  <si>
    <t>за рахунок коштів освітньої субвенції з державного бюджету на здійснення переданих видатків у сфері освіти - на інклюзивно-ресурсні центри</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</si>
  <si>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</si>
  <si>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за рахунок освітньої субвенції з державного бюджету 2020 року</t>
  </si>
  <si>
    <t>(код бюджету)</t>
  </si>
  <si>
    <t>Надання позашкiльної освіти  закладами позашкiльно освiти, заходи iз позашкiльної роботи з дiтьми</t>
  </si>
  <si>
    <t>Надання спеціальної освіти мистецькими школами</t>
  </si>
  <si>
    <t>0620</t>
  </si>
  <si>
    <t>0160</t>
  </si>
  <si>
    <r>
      <t xml:space="preserve">Міська  рада </t>
    </r>
    <r>
      <rPr>
        <i/>
        <sz val="11"/>
        <rFont val="Times New Roman"/>
        <family val="1"/>
      </rPr>
      <t>(головний розпорядник)</t>
    </r>
  </si>
  <si>
    <r>
      <t xml:space="preserve">Міська рада </t>
    </r>
    <r>
      <rPr>
        <i/>
        <sz val="11"/>
        <rFont val="Times New Roman"/>
        <family val="1"/>
      </rPr>
      <t>(відповідальний виконавець)</t>
    </r>
    <r>
      <rPr>
        <b/>
        <sz val="11"/>
        <rFont val="Times New Roman"/>
        <family val="1"/>
      </rPr>
      <t xml:space="preserve"> </t>
    </r>
  </si>
  <si>
    <t>Організація та проведення громадських робіт</t>
  </si>
  <si>
    <t>1050</t>
  </si>
  <si>
    <t>Проведення навчально-тренувальних зборів і змагань з неолімпійських видів спорту</t>
  </si>
  <si>
    <t>Забезпечення діяльності водопровідно-каналізаційного господарства</t>
  </si>
  <si>
    <t>6013</t>
  </si>
  <si>
    <t>Організація благоустрою населених пунктів</t>
  </si>
  <si>
    <t>6030</t>
  </si>
  <si>
    <t>7130</t>
  </si>
  <si>
    <t>Здійснення заходів із землеустрою</t>
  </si>
  <si>
    <t>0421</t>
  </si>
  <si>
    <t>7461</t>
  </si>
  <si>
    <t>Утримання та розвиток автомобільних доріг та дорожньої інфраструктури за рахунок коштів місцевого бюджету</t>
  </si>
  <si>
    <t>Членські внески до асоціацій органів місцевого самоврядування</t>
  </si>
  <si>
    <t>Забезпечення діяльності місцевої пожежної охорони</t>
  </si>
  <si>
    <t>8130</t>
  </si>
  <si>
    <r>
      <t xml:space="preserve">Відділ освіти </t>
    </r>
    <r>
      <rPr>
        <i/>
        <sz val="11"/>
        <rFont val="Times New Roman"/>
        <family val="1"/>
      </rPr>
      <t>(головний розпорядник)</t>
    </r>
  </si>
  <si>
    <r>
      <t xml:space="preserve">Відділ освіти </t>
    </r>
    <r>
      <rPr>
        <i/>
        <sz val="11"/>
        <rFont val="Times New Roman"/>
        <family val="1"/>
      </rPr>
      <t>(відповідальний виконавець)</t>
    </r>
  </si>
  <si>
    <t>Надання дошкільної освіти</t>
  </si>
  <si>
    <t>0910</t>
  </si>
  <si>
    <t>1000000</t>
  </si>
  <si>
    <t>1010000</t>
  </si>
  <si>
    <r>
      <t xml:space="preserve">Відділ культури і туризму </t>
    </r>
    <r>
      <rPr>
        <i/>
        <sz val="11"/>
        <rFont val="Times New Roman"/>
        <family val="1"/>
      </rPr>
      <t>(головний розпорядник)</t>
    </r>
  </si>
  <si>
    <r>
      <t xml:space="preserve">Відділ культури і туризму </t>
    </r>
    <r>
      <rPr>
        <i/>
        <sz val="11"/>
        <rFont val="Times New Roman"/>
        <family val="1"/>
      </rPr>
      <t>(відповідальний виконавець)</t>
    </r>
  </si>
  <si>
    <t>Керівництво і управління у відповідній сфері у містах (місті Києві), селищах, селах, об’єднаних територіальних громадах</t>
  </si>
  <si>
    <r>
      <t xml:space="preserve">Фінансовий відділ Вовчанської міської ради </t>
    </r>
    <r>
      <rPr>
        <i/>
        <sz val="11"/>
        <rFont val="Times New Roman"/>
        <family val="1"/>
      </rPr>
      <t>(головний розпорядник)</t>
    </r>
  </si>
  <si>
    <r>
      <t>Фінансовий відділ Вовчанської міської ради</t>
    </r>
    <r>
      <rPr>
        <i/>
        <sz val="11"/>
        <rFont val="Times New Roman"/>
        <family val="1"/>
      </rPr>
      <t xml:space="preserve"> (відповідальний виконавець)</t>
    </r>
  </si>
  <si>
    <t>Секретар міської ради                                                                                                                                                     Ольга ТОПОРКОВА</t>
  </si>
  <si>
    <t>1014030</t>
  </si>
  <si>
    <t>1014040</t>
  </si>
  <si>
    <t>1014060</t>
  </si>
  <si>
    <t>1014082</t>
  </si>
  <si>
    <t>0112010</t>
  </si>
  <si>
    <t>0111010</t>
  </si>
  <si>
    <t>0112111</t>
  </si>
  <si>
    <t>0113032</t>
  </si>
  <si>
    <t>0113033</t>
  </si>
  <si>
    <t>0113035</t>
  </si>
  <si>
    <t>0113104</t>
  </si>
  <si>
    <t>0113133</t>
  </si>
  <si>
    <t>0113160</t>
  </si>
  <si>
    <t>0113242</t>
  </si>
  <si>
    <t>0113210</t>
  </si>
  <si>
    <t>0115012</t>
  </si>
  <si>
    <t>0115031</t>
  </si>
  <si>
    <t>0115061</t>
  </si>
  <si>
    <t>0116013</t>
  </si>
  <si>
    <t>0116030</t>
  </si>
  <si>
    <t>0117130</t>
  </si>
  <si>
    <t>0117461</t>
  </si>
  <si>
    <t>0117680</t>
  </si>
  <si>
    <t>0117693</t>
  </si>
  <si>
    <t>0118110</t>
  </si>
  <si>
    <t>0118130</t>
  </si>
  <si>
    <t>0118410</t>
  </si>
  <si>
    <t>0610160</t>
  </si>
  <si>
    <t>Заходи державної політики з питань дітей та їх соціального захисту</t>
  </si>
  <si>
    <t>0113112</t>
  </si>
  <si>
    <t xml:space="preserve">Програма розвитку КНП "Вовчанська ЦРЛ" на 2021 рік </t>
  </si>
  <si>
    <t>Програма розвитку первинної ланки медицини Вовчанської міської ради на 2021 рік</t>
  </si>
  <si>
    <t>Програма "Освіта Вовчанщини" на 2021 рік</t>
  </si>
  <si>
    <t>Програма проведення громадських робіт на території Вовчанської міської ради на 2021 рік</t>
  </si>
  <si>
    <t>Програма розвитку фізичної культури і спорту на 2021 рік</t>
  </si>
  <si>
    <t>Програма соціального захисту та соціального забезпечення населення на 2021 рік</t>
  </si>
  <si>
    <t>Програма організації пільгових перевезень автомобільним транспортом на території Вовчанської міської ради на 2016-2022 роки</t>
  </si>
  <si>
    <t>Програма поводження з безпритульними та домашніми тваринами на території Вовчанської міської ради на 2016-2022 роки</t>
  </si>
  <si>
    <t>Організаційне, інформаційно-аналітичне та матеріально-технічне забезпечення діяльності міської ради</t>
  </si>
  <si>
    <r>
      <t>РОЗПОДІЛ</t>
    </r>
    <r>
      <rPr>
        <b/>
        <sz val="14"/>
        <rFont val="Times New Roman"/>
        <family val="1"/>
      </rPr>
      <t xml:space="preserve">
видатків міського бюджету на 2021 рік </t>
    </r>
  </si>
  <si>
    <t>Резервний фонд місцевого бюджету</t>
  </si>
  <si>
    <t>8710</t>
  </si>
  <si>
    <t>1010160</t>
  </si>
  <si>
    <t>1011080</t>
  </si>
  <si>
    <t>0763</t>
  </si>
  <si>
    <t>Централізовані заходи з лікування хворих на цукровий та нецукровий діабет</t>
  </si>
  <si>
    <t>0112144</t>
  </si>
  <si>
    <t>1021</t>
  </si>
  <si>
    <t>0611021</t>
  </si>
  <si>
    <t xml:space="preserve">Надання загальної середньої освіти закладами загальної середньої освіти </t>
  </si>
  <si>
    <t>0611031</t>
  </si>
  <si>
    <t>1031</t>
  </si>
  <si>
    <t>0611070</t>
  </si>
  <si>
    <t>0611120</t>
  </si>
  <si>
    <t>1120</t>
  </si>
  <si>
    <t>0611141</t>
  </si>
  <si>
    <t>1141</t>
  </si>
  <si>
    <t>0611142</t>
  </si>
  <si>
    <t>1142</t>
  </si>
  <si>
    <t>1152</t>
  </si>
  <si>
    <t>0611152</t>
  </si>
  <si>
    <t>Забезпечення діяльності інклюзивно-ресурсних центрів за рахунок освітньої субвенції</t>
  </si>
  <si>
    <t>0111200</t>
  </si>
  <si>
    <t>1200</t>
  </si>
  <si>
    <t>Програма створення та використання місцевого матеріального резерву для запобігання та ліквідації наслідків надзвичайних ситуацій техногенного і природного характеру та їх наслідків на території Вовчанської міської ради на 2021 рік</t>
  </si>
  <si>
    <t>Програма діяльності Комунальної установи по утриманню трудового архіву та майна Вовчанської міської ради на 2021 рік</t>
  </si>
  <si>
    <t xml:space="preserve">Програма діяльності комунальної установи  "Редакція Вовчанського районного радіомовлення" на 2021 рік </t>
  </si>
  <si>
    <t>Програма використання коштів резервного фонду міського бюджету на 2021 рік</t>
  </si>
  <si>
    <t>Програма розвитку культури і туризму у Вовчанській міській громаді на 2021 рік</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</si>
  <si>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</si>
  <si>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0118340</t>
  </si>
  <si>
    <t>8340</t>
  </si>
  <si>
    <t>0540</t>
  </si>
  <si>
    <t>Природоохоронні заходи за рахунок цільових фондів</t>
  </si>
  <si>
    <t>Природоохоронна програма на 2021 рік</t>
  </si>
  <si>
    <t>Програма соціально - економічного розвитку на 2021 рік</t>
  </si>
  <si>
    <t>0611020</t>
  </si>
  <si>
    <t>Надання загальної середньої освіти за рахунок коштів місцевого бюджету</t>
  </si>
  <si>
    <t>0611030</t>
  </si>
  <si>
    <t>1030</t>
  </si>
  <si>
    <t>Надання загальної середньої освіти за рахунок освітньої субвенції</t>
  </si>
  <si>
    <t>0611140</t>
  </si>
  <si>
    <t>1140</t>
  </si>
  <si>
    <t>Інші програми, заклади та заходи у сфері освіти</t>
  </si>
  <si>
    <t>0611150</t>
  </si>
  <si>
    <t>1150</t>
  </si>
  <si>
    <t>Забезпечення діяльності інклюзивно-ресурсних центрів</t>
  </si>
  <si>
    <t>0112110</t>
  </si>
  <si>
    <t>2110</t>
  </si>
  <si>
    <t>Первинна медична допомога населенню</t>
  </si>
  <si>
    <t>Первинна медична допомога населенню, що надається центрами первинної медичної (медико-санітарної) допомоги</t>
  </si>
  <si>
    <t>0112140</t>
  </si>
  <si>
    <t>Програми і централізовані заходи у галузі охорони здоров'я</t>
  </si>
  <si>
    <t>0113030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</si>
  <si>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</si>
  <si>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0113100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</si>
  <si>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</si>
  <si>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0113130</t>
  </si>
  <si>
    <t>Реалізація державної політики у молодіжній сфері</t>
  </si>
  <si>
    <t>0113240</t>
  </si>
  <si>
    <t>Інші заклади та заходи</t>
  </si>
  <si>
    <t>0115010</t>
  </si>
  <si>
    <t>Проведення спортивної роботи в регіоні</t>
  </si>
  <si>
    <t>0115030</t>
  </si>
  <si>
    <t>5030</t>
  </si>
  <si>
    <t>Розвиток дитячо-юнацького та резервного спорту</t>
  </si>
  <si>
    <t>0115060</t>
  </si>
  <si>
    <t>5060</t>
  </si>
  <si>
    <t>Інші заходи з розвитку фізичної культури та спорту</t>
  </si>
  <si>
    <t>0116010</t>
  </si>
  <si>
    <t>6010</t>
  </si>
  <si>
    <t>Утримання та ефективна експлуатація об'єктів житлово-комунального господарства</t>
  </si>
  <si>
    <t>0117460</t>
  </si>
  <si>
    <t>7460</t>
  </si>
  <si>
    <t>Утримання та розвиток автомобільних доріг та дорожньої інфраструктури</t>
  </si>
  <si>
    <t>0117690</t>
  </si>
  <si>
    <t>7690</t>
  </si>
  <si>
    <t>Інша економічна діяльність</t>
  </si>
  <si>
    <t>1014080</t>
  </si>
  <si>
    <t>Інші заклади та заходи в галузі культури і мистецтва</t>
  </si>
  <si>
    <t>0611160</t>
  </si>
  <si>
    <t>1160</t>
  </si>
  <si>
    <t>Забезпечення діяльності центрів професійного розвитку педагогічних працівників</t>
  </si>
  <si>
    <t>0116012</t>
  </si>
  <si>
    <t>6012</t>
  </si>
  <si>
    <t>Забезпечення діяльності з виробництва, транспортування, постачання теплової енергії</t>
  </si>
  <si>
    <t>Підготував 
Начальник
фінансового відділу                                                                                                                                                              Ганна СТАРОДУБЕЦЬ</t>
  </si>
  <si>
    <t>3718710</t>
  </si>
  <si>
    <t>Виконання інвестиційних проектів в рамках реалізації заходів, спрямованих на розвиток системи охорони здоровя у сільській місцевості</t>
  </si>
  <si>
    <t>0117367</t>
  </si>
  <si>
    <t>9750</t>
  </si>
  <si>
    <t>0180</t>
  </si>
  <si>
    <t>Субвенція з місцевого бюджету на співфінансування інвестеційних проектів</t>
  </si>
  <si>
    <t>0800000</t>
  </si>
  <si>
    <t>0810160</t>
  </si>
  <si>
    <t>0813032</t>
  </si>
  <si>
    <t>0813030</t>
  </si>
  <si>
    <r>
      <t xml:space="preserve">Відділ соціального захисту населення </t>
    </r>
    <r>
      <rPr>
        <i/>
        <sz val="11"/>
        <rFont val="Times New Roman"/>
        <family val="1"/>
      </rPr>
      <t>(головний розпорядник)</t>
    </r>
  </si>
  <si>
    <r>
      <t xml:space="preserve">Відділ соціального захисту населення </t>
    </r>
    <r>
      <rPr>
        <i/>
        <sz val="11"/>
        <rFont val="Times New Roman"/>
        <family val="1"/>
      </rPr>
      <t>(відповідальний виконавець)</t>
    </r>
  </si>
  <si>
    <t>0813240</t>
  </si>
  <si>
    <t>0813242</t>
  </si>
  <si>
    <t>Програма економічного і соціального розвитку Вовчанської міської ради  співфінансування для реконструкції приймального відділення  комунального некомерційного підприємства «Вовчанська центральна районна лікарня» Вовчанської районної ради  Харківської області по вул. Шевченко, 28 в м. Вовчанськ, Вовчанського району, Харківської області (коригування)</t>
  </si>
  <si>
    <t>0813100</t>
  </si>
  <si>
    <t>0813104</t>
  </si>
  <si>
    <t>0813160</t>
  </si>
  <si>
    <t>Будівництво 1 об'єктів соціально-культурного призначення</t>
  </si>
  <si>
    <t>Будівництво 1 освітніх установ та закладів</t>
  </si>
  <si>
    <t>0443</t>
  </si>
  <si>
    <t>7321</t>
  </si>
  <si>
    <t>7320</t>
  </si>
  <si>
    <t>Програма соціально - економічного розвитку на 2021 рік "Будівництво амбулаторії загальної практики – сімейної медицини по вул. Центральній, 115 в с. Варварівка Вовчанського району Харківської області (коригування)"</t>
  </si>
  <si>
    <t>0117370</t>
  </si>
  <si>
    <t>Реалізація інших заходів щодо соціально-економічного розвитку територій</t>
  </si>
  <si>
    <t>Програми  допризовної підготовки, військово-патріотичного виховання молоді та призову громадян України на строкову військову службу по Вовчанській міській раді Харківської області на 2021 рік</t>
  </si>
  <si>
    <t>0118312</t>
  </si>
  <si>
    <t>8312</t>
  </si>
  <si>
    <t>Утилізація відходів</t>
  </si>
  <si>
    <t>0512</t>
  </si>
  <si>
    <t>1210</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</si>
  <si>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t>
  </si>
  <si>
    <t>0611200</t>
  </si>
  <si>
    <t>0611210</t>
  </si>
  <si>
    <t>0617320</t>
  </si>
  <si>
    <t>0617321</t>
  </si>
  <si>
    <t>0117462</t>
  </si>
  <si>
    <t>7462</t>
  </si>
  <si>
    <t>Утримання та розвиток автомобільних доріг та дорожньої інфраструктури за рахунок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</si>
  <si>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</si>
  <si>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виконання інвестиційних проектів</t>
  </si>
  <si>
    <t>9720</t>
  </si>
  <si>
    <t>9490</t>
  </si>
  <si>
    <t>Підтримка і розвиток спортивної інфраструктури</t>
  </si>
  <si>
    <t>0115040</t>
  </si>
  <si>
    <t>5040</t>
  </si>
  <si>
    <t>0115041</t>
  </si>
  <si>
    <t>5041</t>
  </si>
  <si>
    <t>Утримання та фінансова підтримка спортивних споруд</t>
  </si>
  <si>
    <t>Інші субвенції з місцевого бюджету</t>
  </si>
  <si>
    <t>9770</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</si>
  <si>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 в рамках обласного конкурсу "Разом в майбутнє" </t>
  </si>
  <si>
    <t xml:space="preserve">Програма соціально - економічного розвитку на 2021 рік співфінансування проєкту "Відкриття Центру сучасного розвитку за адресою м. Вовчанськ, вул. Гоголя, 53"(співфінансування  Старосалтівська селищна рада) в рамках обласного конкурсу "Разом в майбутнє" </t>
  </si>
  <si>
    <t>Програма соціально - економічного розвитку на 2021 рік для співфінансування проєкту «Упорядкування полігону ТПВ – забезпечення епідемічного благополуччя населення та екологічної безпеки на території Старосалтівської селищної ради» в рамках обласного конкурсу "Разом в майбутнє"</t>
  </si>
  <si>
    <t>Додаток  3
до  рішення ХІІ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2)</t>
  </si>
  <si>
    <t>Програма сприяння діяльності Комунального підприємства "Вовчанський центр фізичного здоров'я населення "Спорт для всіх"</t>
  </si>
  <si>
    <t>Програма сприяння діяльності Вовчанського підприємства теплових мереж на 2021 рік"</t>
  </si>
  <si>
    <t>Програма сприяння діяльності Комунального підприємства "Вовчанські очисні споруди" на 2021рік"</t>
  </si>
  <si>
    <t>Програма сприяння діяльності Комунального підприємства "Вільчанський комбінат комунальних підприємст" на 2021рік"</t>
  </si>
  <si>
    <t>Програма сприяння діяльності Комунального підприємства "Новоолександрівська водопровідна дільниця" на 2021рік"</t>
  </si>
  <si>
    <t>Програма сприяння діяльності Комунального підприємства "Білоколодязька водопровідна дільниця" на 2021рік"</t>
  </si>
  <si>
    <t>Програма сприяння діяльності Комунального підприємства "Вовчанськ" на 2021рік"</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</si>
</sst>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s>
  <fonts count="37">
    <font>
      <sz val="10"/>
      <name val="Arial Cyr"/>
      <family val="0"/>
    </font>
    <font>
      <sz val="10"/>
      <name val="Times New Roman"/>
      <family val="1"/>
    </font>
    <font>
      <sz val="11"/>
      <name val="Times New Roman"/>
      <family val="1"/>
    </font>
    <font>
      <b/>
      <sz val="18"/>
      <name val="Times New Roman"/>
      <family val="1"/>
    </font>
    <font>
      <b/>
      <sz val="14"/>
      <name val="Times New Roman"/>
      <family val="1"/>
    </font>
    <font>
      <sz val="8"/>
      <name val="Times New Roman"/>
      <family val="1"/>
    </font>
    <font>
      <sz val="12"/>
      <name val="Times New Roman"/>
      <family val="1"/>
    </font>
    <font>
      <b/>
      <sz val="11"/>
      <name val="Times New Roman"/>
      <family val="1"/>
    </font>
    <font>
      <sz val="8"/>
      <name val="Arial Cyr"/>
      <family val="0"/>
    </font>
    <font>
      <i/>
      <sz val="10"/>
      <name val="Times New Roman"/>
      <family val="1"/>
    </font>
    <font>
      <i/>
      <sz val="11"/>
      <name val="Times New Roman"/>
      <family val="1"/>
    </font>
    <font>
      <sz val="10"/>
      <color indexed="8"/>
      <name val="ARIAL"/>
      <family val="0"/>
    </font>
    <font>
      <b/>
      <sz val="10"/>
      <name val="Times New Roman"/>
      <family val="1"/>
    </font>
    <font>
      <b/>
      <sz val="12"/>
      <name val="Times New Roman"/>
      <family val="1"/>
    </font>
    <font>
      <sz val="10"/>
      <name val="Arial"/>
      <family val="2"/>
    </font>
    <font>
      <u val="single"/>
      <sz val="10.2"/>
      <color indexed="12"/>
      <name val="Arial Cyr"/>
      <family val="0"/>
    </font>
    <font>
      <u val="single"/>
      <sz val="10.2"/>
      <color indexed="36"/>
      <name val="Arial Cyr"/>
      <family val="0"/>
    </font>
    <font>
      <sz val="13"/>
      <name val="Times New Roman"/>
      <family val="1"/>
    </font>
    <font>
      <b/>
      <sz val="10"/>
      <name val="Arial Cyr"/>
      <family val="0"/>
    </font>
    <font>
      <sz val="12"/>
      <name val="Times New Roman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13"/>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14" fillId="0" borderId="0">
      <alignment/>
      <protection/>
    </xf>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0" fontId="1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1" fillId="0" borderId="0">
      <alignment vertical="top"/>
      <protection/>
    </xf>
    <xf numFmtId="0" fontId="34" fillId="0" borderId="6" applyNumberFormat="0" applyFill="0" applyAlignment="0" applyProtection="0"/>
    <xf numFmtId="0" fontId="31" fillId="21" borderId="7" applyNumberFormat="0" applyAlignment="0" applyProtection="0"/>
    <xf numFmtId="0" fontId="20" fillId="0" borderId="0" applyNumberFormat="0" applyFill="0" applyBorder="0" applyAlignment="0" applyProtection="0"/>
    <xf numFmtId="0" fontId="26" fillId="22" borderId="0" applyNumberFormat="0" applyBorder="0" applyAlignment="0" applyProtection="0"/>
    <xf numFmtId="0" fontId="0" fillId="0" borderId="0">
      <alignment/>
      <protection/>
    </xf>
    <xf numFmtId="0" fontId="0" fillId="0" borderId="0">
      <alignment/>
      <protection/>
    </xf>
    <xf numFmtId="0" fontId="16" fillId="0" borderId="0" applyNumberFormat="0" applyFill="0" applyBorder="0" applyAlignment="0" applyProtection="0"/>
    <xf numFmtId="0" fontId="25"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4" fillId="4" borderId="0" applyNumberFormat="0" applyBorder="0" applyAlignment="0" applyProtection="0"/>
  </cellStyleXfs>
  <cellXfs count="68">
    <xf numFmtId="0" fontId="0" fillId="0" borderId="0" xfId="0" applyAlignment="1">
      <alignment/>
    </xf>
    <xf numFmtId="0" fontId="1" fillId="0" borderId="10" xfId="0" applyFont="1" applyFill="1" applyBorder="1" applyAlignment="1">
      <alignment horizontal="center"/>
    </xf>
    <xf numFmtId="0" fontId="1" fillId="0" borderId="0" xfId="0" applyFont="1" applyFill="1" applyAlignment="1">
      <alignment/>
    </xf>
    <xf numFmtId="0" fontId="4" fillId="0" borderId="10" xfId="0" applyNumberFormat="1" applyFont="1" applyFill="1" applyBorder="1" applyAlignment="1" applyProtection="1">
      <alignment horizontal="center" vertical="top"/>
      <protection/>
    </xf>
    <xf numFmtId="0" fontId="4" fillId="0" borderId="0" xfId="0" applyNumberFormat="1" applyFont="1" applyFill="1" applyAlignment="1" applyProtection="1">
      <alignment horizontal="center"/>
      <protection/>
    </xf>
    <xf numFmtId="0" fontId="1" fillId="0" borderId="0" xfId="0" applyFont="1" applyFill="1" applyAlignment="1">
      <alignment horizontal="center"/>
    </xf>
    <xf numFmtId="0" fontId="1" fillId="0" borderId="11" xfId="0" applyNumberFormat="1" applyFont="1" applyFill="1" applyBorder="1" applyAlignment="1" applyProtection="1">
      <alignment horizontal="center" vertical="center" wrapText="1"/>
      <protection/>
    </xf>
    <xf numFmtId="0" fontId="12" fillId="0" borderId="0" xfId="0" applyFont="1" applyFill="1" applyAlignment="1">
      <alignment/>
    </xf>
    <xf numFmtId="0" fontId="1" fillId="0" borderId="0" xfId="0" applyFont="1" applyFill="1" applyBorder="1" applyAlignment="1">
      <alignment/>
    </xf>
    <xf numFmtId="0" fontId="6" fillId="0" borderId="0" xfId="0" applyFont="1" applyFill="1" applyBorder="1" applyAlignment="1">
      <alignment/>
    </xf>
    <xf numFmtId="49" fontId="2" fillId="0" borderId="11"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7" fillId="0" borderId="0" xfId="0" applyFont="1" applyFill="1" applyBorder="1" applyAlignment="1">
      <alignment/>
    </xf>
    <xf numFmtId="0" fontId="2" fillId="0" borderId="0" xfId="0" applyFont="1" applyFill="1" applyBorder="1" applyAlignment="1">
      <alignment/>
    </xf>
    <xf numFmtId="0" fontId="2" fillId="0" borderId="11" xfId="0" applyFont="1" applyFill="1" applyBorder="1" applyAlignment="1">
      <alignment/>
    </xf>
    <xf numFmtId="0" fontId="6" fillId="0" borderId="0" xfId="0" applyNumberFormat="1" applyFont="1" applyFill="1" applyBorder="1" applyAlignment="1" applyProtection="1">
      <alignment vertical="top"/>
      <protection/>
    </xf>
    <xf numFmtId="0" fontId="0" fillId="0" borderId="0" xfId="0" applyFont="1" applyFill="1" applyAlignment="1">
      <alignment horizontal="right"/>
    </xf>
    <xf numFmtId="49" fontId="7" fillId="0" borderId="11" xfId="0" applyNumberFormat="1" applyFont="1" applyFill="1" applyBorder="1" applyAlignment="1">
      <alignment horizontal="center" vertical="center" wrapText="1"/>
    </xf>
    <xf numFmtId="49" fontId="2" fillId="0" borderId="11" xfId="55" applyNumberFormat="1" applyFont="1" applyFill="1" applyBorder="1" applyAlignment="1">
      <alignment horizontal="center" vertical="center" wrapText="1"/>
      <protection/>
    </xf>
    <xf numFmtId="0" fontId="2" fillId="0" borderId="11" xfId="55" applyFont="1" applyFill="1" applyBorder="1" applyAlignment="1">
      <alignment horizontal="left" vertical="center" wrapText="1"/>
      <protection/>
    </xf>
    <xf numFmtId="0" fontId="1" fillId="0" borderId="10" xfId="0" applyFont="1" applyFill="1" applyBorder="1" applyAlignment="1">
      <alignment horizontal="left" wrapText="1"/>
    </xf>
    <xf numFmtId="49" fontId="2" fillId="0" borderId="11" xfId="0" applyNumberFormat="1" applyFont="1" applyFill="1" applyBorder="1" applyAlignment="1">
      <alignment horizontal="center" vertical="center" wrapText="1"/>
    </xf>
    <xf numFmtId="3" fontId="1" fillId="0" borderId="0" xfId="0" applyNumberFormat="1" applyFont="1" applyFill="1" applyAlignment="1">
      <alignment/>
    </xf>
    <xf numFmtId="0" fontId="2" fillId="0" borderId="11" xfId="0" applyFont="1" applyFill="1" applyBorder="1" applyAlignment="1">
      <alignment horizontal="left" vertical="center" wrapText="1"/>
    </xf>
    <xf numFmtId="0" fontId="13" fillId="0" borderId="0" xfId="0" applyNumberFormat="1" applyFont="1" applyFill="1" applyBorder="1" applyAlignment="1" applyProtection="1">
      <alignment vertical="top"/>
      <protection/>
    </xf>
    <xf numFmtId="3" fontId="6" fillId="0" borderId="11" xfId="0" applyNumberFormat="1" applyFont="1" applyFill="1" applyBorder="1" applyAlignment="1">
      <alignment horizontal="right" vertical="center"/>
    </xf>
    <xf numFmtId="0" fontId="7" fillId="0" borderId="11" xfId="0" applyFont="1" applyFill="1" applyBorder="1" applyAlignment="1">
      <alignment horizontal="left" vertical="center" wrapText="1"/>
    </xf>
    <xf numFmtId="0" fontId="7" fillId="0" borderId="11" xfId="0" applyFont="1" applyFill="1" applyBorder="1" applyAlignment="1">
      <alignment/>
    </xf>
    <xf numFmtId="0" fontId="2" fillId="0" borderId="0" xfId="0" applyFont="1" applyFill="1" applyBorder="1" applyAlignment="1">
      <alignment vertical="center"/>
    </xf>
    <xf numFmtId="0" fontId="2" fillId="0" borderId="11" xfId="0" applyFont="1" applyFill="1" applyBorder="1" applyAlignment="1">
      <alignment horizontal="center" vertical="center"/>
    </xf>
    <xf numFmtId="49" fontId="2" fillId="0" borderId="11" xfId="0" applyNumberFormat="1" applyFont="1" applyFill="1" applyBorder="1" applyAlignment="1">
      <alignment horizontal="center" vertical="center"/>
    </xf>
    <xf numFmtId="0" fontId="7" fillId="0" borderId="11" xfId="0" applyFont="1" applyFill="1" applyBorder="1" applyAlignment="1">
      <alignment horizontal="center" vertical="center" wrapText="1"/>
    </xf>
    <xf numFmtId="0" fontId="9" fillId="0" borderId="11" xfId="55" applyFont="1" applyFill="1" applyBorder="1" applyAlignment="1">
      <alignment horizontal="left" vertical="center" wrapText="1"/>
      <protection/>
    </xf>
    <xf numFmtId="49" fontId="7" fillId="0" borderId="11" xfId="0" applyNumberFormat="1" applyFont="1" applyFill="1" applyBorder="1" applyAlignment="1">
      <alignment horizontal="center" vertical="center"/>
    </xf>
    <xf numFmtId="3" fontId="13" fillId="0" borderId="11" xfId="50" applyNumberFormat="1" applyFont="1" applyFill="1" applyBorder="1" applyAlignment="1">
      <alignment horizontal="right" vertical="center"/>
      <protection/>
    </xf>
    <xf numFmtId="3" fontId="6" fillId="0" borderId="11" xfId="50" applyNumberFormat="1" applyFont="1" applyFill="1" applyBorder="1" applyAlignment="1">
      <alignment horizontal="right" vertical="center"/>
      <protection/>
    </xf>
    <xf numFmtId="49" fontId="7" fillId="0" borderId="11" xfId="55" applyNumberFormat="1" applyFont="1" applyFill="1" applyBorder="1" applyAlignment="1">
      <alignment horizontal="center" vertical="center" wrapText="1"/>
      <protection/>
    </xf>
    <xf numFmtId="0" fontId="2" fillId="0" borderId="0" xfId="0" applyFont="1" applyFill="1" applyBorder="1" applyAlignment="1">
      <alignment wrapText="1"/>
    </xf>
    <xf numFmtId="0" fontId="10" fillId="0" borderId="11" xfId="0" applyFont="1" applyFill="1" applyBorder="1" applyAlignment="1">
      <alignment horizontal="left" vertical="center" wrapText="1"/>
    </xf>
    <xf numFmtId="49" fontId="7" fillId="0" borderId="11" xfId="0" applyNumberFormat="1" applyFont="1" applyFill="1" applyBorder="1" applyAlignment="1" applyProtection="1">
      <alignment horizontal="center" vertical="center"/>
      <protection/>
    </xf>
    <xf numFmtId="0" fontId="17" fillId="0" borderId="0" xfId="0" applyFont="1" applyFill="1" applyAlignment="1">
      <alignment wrapText="1"/>
    </xf>
    <xf numFmtId="0" fontId="1" fillId="0" borderId="12" xfId="0" applyNumberFormat="1" applyFont="1" applyFill="1" applyBorder="1" applyAlignment="1" applyProtection="1">
      <alignment horizontal="center" vertical="center" wrapText="1"/>
      <protection/>
    </xf>
    <xf numFmtId="0" fontId="1" fillId="0" borderId="11" xfId="55" applyFont="1" applyFill="1" applyBorder="1" applyAlignment="1">
      <alignment horizontal="left" vertical="center" wrapText="1"/>
      <protection/>
    </xf>
    <xf numFmtId="0" fontId="7" fillId="0" borderId="11" xfId="55" applyFont="1" applyFill="1" applyBorder="1" applyAlignment="1">
      <alignment horizontal="left" vertical="center" wrapText="1"/>
      <protection/>
    </xf>
    <xf numFmtId="0" fontId="10" fillId="0" borderId="11" xfId="55" applyFont="1" applyFill="1" applyBorder="1" applyAlignment="1">
      <alignment horizontal="left" vertical="center" wrapText="1"/>
      <protection/>
    </xf>
    <xf numFmtId="0" fontId="2" fillId="0" borderId="11" xfId="0" applyNumberFormat="1" applyFont="1" applyFill="1" applyBorder="1" applyAlignment="1" applyProtection="1">
      <alignment horizontal="left" vertical="center" wrapText="1"/>
      <protection/>
    </xf>
    <xf numFmtId="0" fontId="2" fillId="0" borderId="11" xfId="0" applyFont="1" applyFill="1" applyBorder="1" applyAlignment="1">
      <alignment horizontal="left" vertical="center" wrapText="1" shrinkToFit="1"/>
    </xf>
    <xf numFmtId="0" fontId="2" fillId="0" borderId="11" xfId="0" applyFont="1" applyFill="1" applyBorder="1" applyAlignment="1">
      <alignment vertical="center" wrapText="1"/>
    </xf>
    <xf numFmtId="0" fontId="4" fillId="0" borderId="0" xfId="0" applyNumberFormat="1" applyFont="1" applyFill="1" applyBorder="1" applyAlignment="1" applyProtection="1">
      <alignment horizontal="center" vertical="top" wrapText="1"/>
      <protection/>
    </xf>
    <xf numFmtId="4" fontId="18" fillId="24" borderId="11" xfId="56" applyNumberFormat="1" applyFont="1" applyFill="1" applyBorder="1" applyAlignment="1">
      <alignment vertical="center" wrapText="1"/>
      <protection/>
    </xf>
    <xf numFmtId="49" fontId="7" fillId="25" borderId="11" xfId="0" applyNumberFormat="1" applyFont="1" applyFill="1" applyBorder="1" applyAlignment="1">
      <alignment horizontal="center" vertical="center" wrapText="1"/>
    </xf>
    <xf numFmtId="0" fontId="10" fillId="25" borderId="11" xfId="0" applyFont="1" applyFill="1" applyBorder="1" applyAlignment="1">
      <alignment horizontal="left" vertical="center" wrapText="1"/>
    </xf>
    <xf numFmtId="0" fontId="10" fillId="25" borderId="11" xfId="55" applyFont="1" applyFill="1" applyBorder="1" applyAlignment="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protection/>
    </xf>
    <xf numFmtId="0" fontId="5" fillId="0" borderId="10" xfId="0" applyNumberFormat="1" applyFont="1" applyFill="1" applyBorder="1" applyAlignment="1" applyProtection="1">
      <alignment horizontal="center" vertical="top"/>
      <protection/>
    </xf>
    <xf numFmtId="0" fontId="19" fillId="0" borderId="0" xfId="0" applyFont="1" applyFill="1" applyAlignment="1">
      <alignment horizontal="left" vertical="center" wrapText="1"/>
    </xf>
    <xf numFmtId="0" fontId="6" fillId="0" borderId="0" xfId="0" applyFont="1" applyFill="1" applyAlignment="1">
      <alignment horizontal="left" wrapText="1"/>
    </xf>
    <xf numFmtId="0" fontId="6" fillId="0" borderId="11" xfId="0" applyNumberFormat="1" applyFont="1" applyFill="1" applyBorder="1" applyAlignment="1" applyProtection="1">
      <alignment horizontal="center" vertical="center" wrapText="1"/>
      <protection/>
    </xf>
    <xf numFmtId="0" fontId="17" fillId="0" borderId="0" xfId="0" applyFont="1" applyFill="1" applyAlignment="1">
      <alignment horizontal="left" wrapText="1"/>
    </xf>
    <xf numFmtId="0" fontId="17" fillId="0" borderId="0" xfId="0" applyFont="1" applyFill="1" applyAlignment="1">
      <alignment horizontal="left"/>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_Додаток _ 3 зм_ни 4575" xfId="50"/>
    <cellStyle name="Итог" xfId="51"/>
    <cellStyle name="Контрольная ячейка" xfId="52"/>
    <cellStyle name="Название" xfId="53"/>
    <cellStyle name="Нейтральный" xfId="54"/>
    <cellStyle name="Обычный_28" xfId="55"/>
    <cellStyle name="Обычный_дод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9"/>
  <sheetViews>
    <sheetView showZeros="0" tabSelected="1" view="pageBreakPreview" zoomScale="75" zoomScaleSheetLayoutView="75" zoomScalePageLayoutView="0" workbookViewId="0" topLeftCell="A4">
      <pane xSplit="5" ySplit="6" topLeftCell="F59" activePane="bottomRight" state="frozen"/>
      <selection pane="topLeft" activeCell="A4" sqref="A4"/>
      <selection pane="topRight" activeCell="F4" sqref="F4"/>
      <selection pane="bottomLeft" activeCell="A10" sqref="A10"/>
      <selection pane="bottomRight" activeCell="Q149" sqref="Q149"/>
    </sheetView>
  </sheetViews>
  <sheetFormatPr defaultColWidth="9.00390625" defaultRowHeight="12.75"/>
  <cols>
    <col min="1" max="1" width="9.125" style="8" customWidth="1"/>
    <col min="2" max="2" width="10.125" style="7" customWidth="1"/>
    <col min="3" max="3" width="8.375" style="2" customWidth="1"/>
    <col min="4" max="4" width="7.125" style="2" customWidth="1"/>
    <col min="5" max="5" width="53.75390625" style="2" customWidth="1"/>
    <col min="6" max="6" width="14.875" style="2" customWidth="1"/>
    <col min="7" max="7" width="16.875" style="2" customWidth="1"/>
    <col min="8" max="8" width="15.00390625" style="2" customWidth="1"/>
    <col min="9" max="9" width="14.125" style="2" customWidth="1"/>
    <col min="10" max="10" width="11.875" style="2" customWidth="1"/>
    <col min="11" max="12" width="13.25390625" style="2" customWidth="1"/>
    <col min="13" max="13" width="14.25390625" style="2" customWidth="1"/>
    <col min="14" max="15" width="11.75390625" style="2" customWidth="1"/>
    <col min="16" max="16" width="13.00390625" style="2" customWidth="1"/>
    <col min="17" max="17" width="14.625" style="2" customWidth="1"/>
    <col min="18" max="16384" width="9.125" style="8" customWidth="1"/>
  </cols>
  <sheetData>
    <row r="1" spans="2:17" s="9" customFormat="1" ht="111.75" customHeight="1">
      <c r="B1" s="24"/>
      <c r="C1" s="15"/>
      <c r="D1" s="15"/>
      <c r="E1" s="15"/>
      <c r="F1" s="15"/>
      <c r="G1" s="15"/>
      <c r="H1" s="15"/>
      <c r="I1" s="15"/>
      <c r="J1" s="15"/>
      <c r="K1" s="15"/>
      <c r="L1" s="15"/>
      <c r="M1" s="15"/>
      <c r="N1" s="63" t="s">
        <v>289</v>
      </c>
      <c r="O1" s="63"/>
      <c r="P1" s="63"/>
      <c r="Q1" s="63"/>
    </row>
    <row r="2" spans="2:17" ht="45" customHeight="1">
      <c r="B2" s="53" t="s">
        <v>146</v>
      </c>
      <c r="C2" s="54"/>
      <c r="D2" s="54"/>
      <c r="E2" s="54"/>
      <c r="F2" s="54"/>
      <c r="G2" s="54"/>
      <c r="H2" s="54"/>
      <c r="I2" s="54"/>
      <c r="J2" s="54"/>
      <c r="K2" s="54"/>
      <c r="L2" s="54"/>
      <c r="M2" s="54"/>
      <c r="N2" s="54"/>
      <c r="O2" s="54"/>
      <c r="P2" s="54"/>
      <c r="Q2" s="54"/>
    </row>
    <row r="3" spans="2:17" ht="45" customHeight="1">
      <c r="B3" s="61">
        <v>20535000000</v>
      </c>
      <c r="C3" s="61"/>
      <c r="D3" s="48"/>
      <c r="E3" s="48"/>
      <c r="F3" s="48"/>
      <c r="G3" s="48"/>
      <c r="H3" s="48"/>
      <c r="I3" s="48"/>
      <c r="J3" s="48"/>
      <c r="K3" s="48"/>
      <c r="L3" s="48"/>
      <c r="M3" s="48"/>
      <c r="N3" s="48"/>
      <c r="O3" s="48"/>
      <c r="P3" s="48"/>
      <c r="Q3" s="48"/>
    </row>
    <row r="4" spans="2:17" ht="18.75">
      <c r="B4" s="62" t="s">
        <v>73</v>
      </c>
      <c r="C4" s="62"/>
      <c r="D4" s="1"/>
      <c r="E4" s="20"/>
      <c r="F4" s="1"/>
      <c r="G4" s="1"/>
      <c r="H4" s="3"/>
      <c r="I4" s="1"/>
      <c r="J4" s="1"/>
      <c r="K4" s="4"/>
      <c r="L4" s="4"/>
      <c r="M4" s="5"/>
      <c r="N4" s="5"/>
      <c r="O4" s="5"/>
      <c r="P4" s="5"/>
      <c r="Q4" s="16" t="s">
        <v>68</v>
      </c>
    </row>
    <row r="5" spans="2:17" ht="21.75" customHeight="1">
      <c r="B5" s="55" t="s">
        <v>63</v>
      </c>
      <c r="C5" s="55" t="s">
        <v>64</v>
      </c>
      <c r="D5" s="55" t="s">
        <v>65</v>
      </c>
      <c r="E5" s="56" t="s">
        <v>71</v>
      </c>
      <c r="F5" s="65" t="s">
        <v>6</v>
      </c>
      <c r="G5" s="65"/>
      <c r="H5" s="65"/>
      <c r="I5" s="65"/>
      <c r="J5" s="65"/>
      <c r="K5" s="65" t="s">
        <v>7</v>
      </c>
      <c r="L5" s="65"/>
      <c r="M5" s="65"/>
      <c r="N5" s="65"/>
      <c r="O5" s="65"/>
      <c r="P5" s="65"/>
      <c r="Q5" s="57" t="s">
        <v>8</v>
      </c>
    </row>
    <row r="6" spans="2:17" ht="16.5" customHeight="1">
      <c r="B6" s="55"/>
      <c r="C6" s="55"/>
      <c r="D6" s="55"/>
      <c r="E6" s="56"/>
      <c r="F6" s="56" t="s">
        <v>66</v>
      </c>
      <c r="G6" s="56" t="s">
        <v>10</v>
      </c>
      <c r="H6" s="56" t="s">
        <v>11</v>
      </c>
      <c r="I6" s="56"/>
      <c r="J6" s="56" t="s">
        <v>12</v>
      </c>
      <c r="K6" s="56" t="s">
        <v>66</v>
      </c>
      <c r="L6" s="58" t="s">
        <v>67</v>
      </c>
      <c r="M6" s="56" t="s">
        <v>10</v>
      </c>
      <c r="N6" s="56" t="s">
        <v>11</v>
      </c>
      <c r="O6" s="56"/>
      <c r="P6" s="56" t="s">
        <v>12</v>
      </c>
      <c r="Q6" s="57"/>
    </row>
    <row r="7" spans="2:17" ht="20.25" customHeight="1">
      <c r="B7" s="55"/>
      <c r="C7" s="55"/>
      <c r="D7" s="55"/>
      <c r="E7" s="56"/>
      <c r="F7" s="56"/>
      <c r="G7" s="56"/>
      <c r="H7" s="56" t="s">
        <v>13</v>
      </c>
      <c r="I7" s="56" t="s">
        <v>14</v>
      </c>
      <c r="J7" s="56"/>
      <c r="K7" s="56"/>
      <c r="L7" s="59"/>
      <c r="M7" s="56"/>
      <c r="N7" s="56" t="s">
        <v>13</v>
      </c>
      <c r="O7" s="56" t="s">
        <v>14</v>
      </c>
      <c r="P7" s="56"/>
      <c r="Q7" s="57"/>
    </row>
    <row r="8" spans="2:17" ht="54.75" customHeight="1">
      <c r="B8" s="55"/>
      <c r="C8" s="55"/>
      <c r="D8" s="55"/>
      <c r="E8" s="56"/>
      <c r="F8" s="56"/>
      <c r="G8" s="56"/>
      <c r="H8" s="56"/>
      <c r="I8" s="56"/>
      <c r="J8" s="56"/>
      <c r="K8" s="56"/>
      <c r="L8" s="60"/>
      <c r="M8" s="56"/>
      <c r="N8" s="56"/>
      <c r="O8" s="56"/>
      <c r="P8" s="56"/>
      <c r="Q8" s="57"/>
    </row>
    <row r="9" spans="2:17" ht="21" customHeight="1">
      <c r="B9" s="6">
        <v>1</v>
      </c>
      <c r="C9" s="6">
        <v>2</v>
      </c>
      <c r="D9" s="6">
        <v>3</v>
      </c>
      <c r="E9" s="6">
        <v>4</v>
      </c>
      <c r="F9" s="6">
        <v>5</v>
      </c>
      <c r="G9" s="6">
        <v>6</v>
      </c>
      <c r="H9" s="6">
        <v>7</v>
      </c>
      <c r="I9" s="6">
        <v>8</v>
      </c>
      <c r="J9" s="6">
        <v>9</v>
      </c>
      <c r="K9" s="6">
        <v>10</v>
      </c>
      <c r="L9" s="41">
        <v>11</v>
      </c>
      <c r="M9" s="6">
        <v>12</v>
      </c>
      <c r="N9" s="6">
        <v>13</v>
      </c>
      <c r="O9" s="6">
        <v>14</v>
      </c>
      <c r="P9" s="6">
        <v>15</v>
      </c>
      <c r="Q9" s="6">
        <v>16</v>
      </c>
    </row>
    <row r="10" spans="2:17" s="28" customFormat="1" ht="21" customHeight="1">
      <c r="B10" s="17" t="s">
        <v>20</v>
      </c>
      <c r="C10" s="17"/>
      <c r="D10" s="17"/>
      <c r="E10" s="26" t="s">
        <v>78</v>
      </c>
      <c r="F10" s="34">
        <f aca="true" t="shared" si="0" ref="F10:Q10">F11</f>
        <v>109616477</v>
      </c>
      <c r="G10" s="34">
        <f t="shared" si="0"/>
        <v>97775975</v>
      </c>
      <c r="H10" s="34">
        <f t="shared" si="0"/>
        <v>52887145</v>
      </c>
      <c r="I10" s="34">
        <f t="shared" si="0"/>
        <v>5154987</v>
      </c>
      <c r="J10" s="34">
        <f t="shared" si="0"/>
        <v>11840502</v>
      </c>
      <c r="K10" s="34">
        <f t="shared" si="0"/>
        <v>8097736</v>
      </c>
      <c r="L10" s="34">
        <f t="shared" si="0"/>
        <v>5683670</v>
      </c>
      <c r="M10" s="34">
        <f t="shared" si="0"/>
        <v>1856416</v>
      </c>
      <c r="N10" s="34">
        <f t="shared" si="0"/>
        <v>0</v>
      </c>
      <c r="O10" s="34">
        <f t="shared" si="0"/>
        <v>0</v>
      </c>
      <c r="P10" s="34">
        <f t="shared" si="0"/>
        <v>6241320</v>
      </c>
      <c r="Q10" s="34">
        <f t="shared" si="0"/>
        <v>117714213</v>
      </c>
    </row>
    <row r="11" spans="2:17" s="13" customFormat="1" ht="15.75">
      <c r="B11" s="17" t="s">
        <v>21</v>
      </c>
      <c r="C11" s="17"/>
      <c r="D11" s="17"/>
      <c r="E11" s="26" t="s">
        <v>79</v>
      </c>
      <c r="F11" s="34">
        <f>F12+F13+F19+F22+F27+F29+F31+F34+F38+F40+F42+F45+F48+F51+F57+F62+F68+F72+F79+F82+F84+F86+F88+F93+F95+F35+F25+F14+F60+F73+F15+F77+F91+F89+F53</f>
        <v>109616477</v>
      </c>
      <c r="G11" s="34">
        <f>G12+G13+G19+G22+G27+G29+G31+G34+G38+G40+G42+G45+G48+G51+G57+G62+G68+G72+G79+G82+G84+G86+G88+G93+G95+G35+G25+G14+G60+G73+G15+G77+G91+G89+G53</f>
        <v>97775975</v>
      </c>
      <c r="H11" s="34">
        <f aca="true" t="shared" si="1" ref="H11:Q11">H12+H13+H19+H22+H27+H29+H31+H34+H38+H40+H42+H45+H48+H51+H57+H62+H68+H72+H79+H82+H84+H86+H88+H93+H95+H35+H25+H14+H60+H73+H15+H77+H91+H89+H53</f>
        <v>52887145</v>
      </c>
      <c r="I11" s="34">
        <f t="shared" si="1"/>
        <v>5154987</v>
      </c>
      <c r="J11" s="34">
        <f t="shared" si="1"/>
        <v>11840502</v>
      </c>
      <c r="K11" s="34">
        <f t="shared" si="1"/>
        <v>8097736</v>
      </c>
      <c r="L11" s="34">
        <f t="shared" si="1"/>
        <v>5683670</v>
      </c>
      <c r="M11" s="34">
        <f t="shared" si="1"/>
        <v>1856416</v>
      </c>
      <c r="N11" s="34">
        <f t="shared" si="1"/>
        <v>0</v>
      </c>
      <c r="O11" s="34">
        <f t="shared" si="1"/>
        <v>0</v>
      </c>
      <c r="P11" s="34">
        <f t="shared" si="1"/>
        <v>6241320</v>
      </c>
      <c r="Q11" s="34">
        <f t="shared" si="1"/>
        <v>117714213</v>
      </c>
    </row>
    <row r="12" spans="1:17" s="13" customFormat="1" ht="30">
      <c r="A12" s="13">
        <v>10116</v>
      </c>
      <c r="B12" s="17" t="s">
        <v>38</v>
      </c>
      <c r="C12" s="21" t="s">
        <v>39</v>
      </c>
      <c r="D12" s="21" t="s">
        <v>22</v>
      </c>
      <c r="E12" s="23" t="s">
        <v>145</v>
      </c>
      <c r="F12" s="34">
        <f aca="true" t="shared" si="2" ref="F12:F139">G12+J12</f>
        <v>29236464</v>
      </c>
      <c r="G12" s="35">
        <f>29603270+359000-785806+60000</f>
        <v>29236464</v>
      </c>
      <c r="H12" s="35">
        <f>23424100-644100</f>
        <v>22780000</v>
      </c>
      <c r="I12" s="35"/>
      <c r="J12" s="35"/>
      <c r="K12" s="34">
        <f aca="true" t="shared" si="3" ref="K12:K137">M12+P12</f>
        <v>136170</v>
      </c>
      <c r="L12" s="35">
        <f>187500-51330</f>
        <v>136170</v>
      </c>
      <c r="M12" s="35"/>
      <c r="N12" s="35"/>
      <c r="O12" s="35"/>
      <c r="P12" s="35">
        <f>187500-51330</f>
        <v>136170</v>
      </c>
      <c r="Q12" s="34">
        <f aca="true" t="shared" si="4" ref="Q12:Q139">F12+K12</f>
        <v>29372634</v>
      </c>
    </row>
    <row r="13" spans="2:17" s="13" customFormat="1" ht="15.75">
      <c r="B13" s="17" t="s">
        <v>112</v>
      </c>
      <c r="C13" s="21" t="s">
        <v>0</v>
      </c>
      <c r="D13" s="21" t="s">
        <v>98</v>
      </c>
      <c r="E13" s="23" t="s">
        <v>97</v>
      </c>
      <c r="F13" s="34">
        <f t="shared" si="2"/>
        <v>31062897</v>
      </c>
      <c r="G13" s="35">
        <f>30795300+156250+22300+89047</f>
        <v>31062897</v>
      </c>
      <c r="H13" s="35">
        <f>20355000+38606</f>
        <v>20393606</v>
      </c>
      <c r="I13" s="35">
        <f>2551300+156250</f>
        <v>2707550</v>
      </c>
      <c r="J13" s="35"/>
      <c r="K13" s="34">
        <f t="shared" si="3"/>
        <v>1381800</v>
      </c>
      <c r="L13" s="35"/>
      <c r="M13" s="35">
        <v>1381800</v>
      </c>
      <c r="N13" s="35"/>
      <c r="O13" s="35"/>
      <c r="P13" s="35"/>
      <c r="Q13" s="34">
        <f t="shared" si="4"/>
        <v>32444697</v>
      </c>
    </row>
    <row r="14" spans="2:17" s="13" customFormat="1" ht="45">
      <c r="B14" s="17" t="s">
        <v>169</v>
      </c>
      <c r="C14" s="21" t="s">
        <v>170</v>
      </c>
      <c r="D14" s="21" t="s">
        <v>18</v>
      </c>
      <c r="E14" s="23" t="s">
        <v>176</v>
      </c>
      <c r="F14" s="34">
        <f t="shared" si="2"/>
        <v>48592</v>
      </c>
      <c r="G14" s="35">
        <f>34151+14441</f>
        <v>48592</v>
      </c>
      <c r="H14" s="35"/>
      <c r="I14" s="35"/>
      <c r="J14" s="35"/>
      <c r="K14" s="34">
        <f t="shared" si="3"/>
        <v>0</v>
      </c>
      <c r="L14" s="35"/>
      <c r="M14" s="35"/>
      <c r="N14" s="35"/>
      <c r="O14" s="35"/>
      <c r="P14" s="35"/>
      <c r="Q14" s="34">
        <f t="shared" si="4"/>
        <v>48592</v>
      </c>
    </row>
    <row r="15" spans="2:17" s="13" customFormat="1" ht="15.75">
      <c r="B15" s="33" t="s">
        <v>188</v>
      </c>
      <c r="C15" s="18" t="s">
        <v>189</v>
      </c>
      <c r="D15" s="18"/>
      <c r="E15" s="19" t="s">
        <v>190</v>
      </c>
      <c r="F15" s="34">
        <f>F16</f>
        <v>990000</v>
      </c>
      <c r="G15" s="34">
        <f aca="true" t="shared" si="5" ref="G15:P15">G16</f>
        <v>990000</v>
      </c>
      <c r="H15" s="34">
        <f t="shared" si="5"/>
        <v>0</v>
      </c>
      <c r="I15" s="34">
        <f t="shared" si="5"/>
        <v>0</v>
      </c>
      <c r="J15" s="34">
        <f t="shared" si="5"/>
        <v>0</v>
      </c>
      <c r="K15" s="34">
        <f t="shared" si="5"/>
        <v>0</v>
      </c>
      <c r="L15" s="34">
        <f t="shared" si="5"/>
        <v>0</v>
      </c>
      <c r="M15" s="34">
        <f t="shared" si="5"/>
        <v>0</v>
      </c>
      <c r="N15" s="34">
        <f t="shared" si="5"/>
        <v>0</v>
      </c>
      <c r="O15" s="34">
        <f t="shared" si="5"/>
        <v>0</v>
      </c>
      <c r="P15" s="34">
        <f t="shared" si="5"/>
        <v>0</v>
      </c>
      <c r="Q15" s="34">
        <f t="shared" si="4"/>
        <v>990000</v>
      </c>
    </row>
    <row r="16" spans="2:17" s="13" customFormat="1" ht="15.75">
      <c r="B16" s="33" t="s">
        <v>164</v>
      </c>
      <c r="C16" s="18" t="s">
        <v>165</v>
      </c>
      <c r="D16" s="18" t="s">
        <v>18</v>
      </c>
      <c r="E16" s="19" t="s">
        <v>55</v>
      </c>
      <c r="F16" s="34">
        <f t="shared" si="2"/>
        <v>990000</v>
      </c>
      <c r="G16" s="35">
        <v>990000</v>
      </c>
      <c r="H16" s="35"/>
      <c r="I16" s="35"/>
      <c r="J16" s="35"/>
      <c r="K16" s="34"/>
      <c r="L16" s="35"/>
      <c r="M16" s="35"/>
      <c r="N16" s="35"/>
      <c r="O16" s="35"/>
      <c r="P16" s="35"/>
      <c r="Q16" s="34">
        <f t="shared" si="4"/>
        <v>990000</v>
      </c>
    </row>
    <row r="17" spans="2:17" s="13" customFormat="1" ht="55.5" customHeight="1">
      <c r="B17" s="33"/>
      <c r="C17" s="18"/>
      <c r="D17" s="18"/>
      <c r="E17" s="32" t="s">
        <v>286</v>
      </c>
      <c r="F17" s="34">
        <f t="shared" si="2"/>
        <v>890000</v>
      </c>
      <c r="G17" s="35">
        <f>990000-100000</f>
        <v>890000</v>
      </c>
      <c r="H17" s="35"/>
      <c r="I17" s="35"/>
      <c r="J17" s="35"/>
      <c r="K17" s="34"/>
      <c r="L17" s="35"/>
      <c r="M17" s="35"/>
      <c r="N17" s="35"/>
      <c r="O17" s="35"/>
      <c r="P17" s="35"/>
      <c r="Q17" s="34">
        <f t="shared" si="4"/>
        <v>890000</v>
      </c>
    </row>
    <row r="18" spans="2:17" s="13" customFormat="1" ht="76.5" customHeight="1">
      <c r="B18" s="33"/>
      <c r="C18" s="18"/>
      <c r="D18" s="18"/>
      <c r="E18" s="32" t="s">
        <v>287</v>
      </c>
      <c r="F18" s="34">
        <f t="shared" si="2"/>
        <v>100000</v>
      </c>
      <c r="G18" s="35">
        <v>100000</v>
      </c>
      <c r="H18" s="35"/>
      <c r="I18" s="35"/>
      <c r="J18" s="35"/>
      <c r="K18" s="34"/>
      <c r="L18" s="35"/>
      <c r="M18" s="35"/>
      <c r="N18" s="35"/>
      <c r="O18" s="35"/>
      <c r="P18" s="35"/>
      <c r="Q18" s="34">
        <f t="shared" si="4"/>
        <v>100000</v>
      </c>
    </row>
    <row r="19" spans="1:17" s="13" customFormat="1" ht="30">
      <c r="A19" s="13">
        <v>80101</v>
      </c>
      <c r="B19" s="17" t="s">
        <v>111</v>
      </c>
      <c r="C19" s="30">
        <v>2010</v>
      </c>
      <c r="D19" s="30" t="s">
        <v>28</v>
      </c>
      <c r="E19" s="23" t="s">
        <v>29</v>
      </c>
      <c r="F19" s="34">
        <f t="shared" si="2"/>
        <v>5508457</v>
      </c>
      <c r="G19" s="35">
        <f>G20</f>
        <v>5508457</v>
      </c>
      <c r="H19" s="35">
        <f>H20</f>
        <v>0</v>
      </c>
      <c r="I19" s="35">
        <f>I20</f>
        <v>0</v>
      </c>
      <c r="J19" s="35">
        <f>J20</f>
        <v>0</v>
      </c>
      <c r="K19" s="34">
        <f t="shared" si="3"/>
        <v>0</v>
      </c>
      <c r="L19" s="35">
        <f>L20</f>
        <v>0</v>
      </c>
      <c r="M19" s="35">
        <f>M20</f>
        <v>0</v>
      </c>
      <c r="N19" s="35">
        <f>N20</f>
        <v>0</v>
      </c>
      <c r="O19" s="35">
        <f>O20</f>
        <v>0</v>
      </c>
      <c r="P19" s="35">
        <f>P20</f>
        <v>0</v>
      </c>
      <c r="Q19" s="34">
        <f t="shared" si="4"/>
        <v>5508457</v>
      </c>
    </row>
    <row r="20" spans="2:17" s="13" customFormat="1" ht="21.75" customHeight="1">
      <c r="B20" s="17"/>
      <c r="C20" s="30"/>
      <c r="D20" s="30"/>
      <c r="E20" s="32" t="s">
        <v>137</v>
      </c>
      <c r="F20" s="34">
        <f t="shared" si="2"/>
        <v>5508457</v>
      </c>
      <c r="G20" s="35">
        <f>4846200+550500+50000+61757</f>
        <v>5508457</v>
      </c>
      <c r="H20" s="35"/>
      <c r="I20" s="35"/>
      <c r="J20" s="35"/>
      <c r="K20" s="34">
        <f t="shared" si="3"/>
        <v>0</v>
      </c>
      <c r="L20" s="35"/>
      <c r="M20" s="35"/>
      <c r="N20" s="35"/>
      <c r="O20" s="35"/>
      <c r="P20" s="35"/>
      <c r="Q20" s="34">
        <f t="shared" si="4"/>
        <v>5508457</v>
      </c>
    </row>
    <row r="21" spans="2:17" s="13" customFormat="1" ht="21.75" customHeight="1">
      <c r="B21" s="17" t="s">
        <v>194</v>
      </c>
      <c r="C21" s="30" t="s">
        <v>195</v>
      </c>
      <c r="D21" s="30"/>
      <c r="E21" s="23" t="s">
        <v>196</v>
      </c>
      <c r="F21" s="34">
        <f>F22</f>
        <v>3906000</v>
      </c>
      <c r="G21" s="35">
        <f aca="true" t="shared" si="6" ref="G21:P21">G22</f>
        <v>3906000</v>
      </c>
      <c r="H21" s="35">
        <f t="shared" si="6"/>
        <v>0</v>
      </c>
      <c r="I21" s="35">
        <f t="shared" si="6"/>
        <v>0</v>
      </c>
      <c r="J21" s="35">
        <f t="shared" si="6"/>
        <v>0</v>
      </c>
      <c r="K21" s="34">
        <f t="shared" si="6"/>
        <v>0</v>
      </c>
      <c r="L21" s="35">
        <f t="shared" si="6"/>
        <v>0</v>
      </c>
      <c r="M21" s="35">
        <f t="shared" si="6"/>
        <v>0</v>
      </c>
      <c r="N21" s="35">
        <f t="shared" si="6"/>
        <v>0</v>
      </c>
      <c r="O21" s="35">
        <f t="shared" si="6"/>
        <v>0</v>
      </c>
      <c r="P21" s="35">
        <f t="shared" si="6"/>
        <v>0</v>
      </c>
      <c r="Q21" s="34">
        <f t="shared" si="4"/>
        <v>3906000</v>
      </c>
    </row>
    <row r="22" spans="1:17" s="13" customFormat="1" ht="45">
      <c r="A22" s="13">
        <v>80800</v>
      </c>
      <c r="B22" s="17" t="s">
        <v>113</v>
      </c>
      <c r="C22" s="30" t="s">
        <v>40</v>
      </c>
      <c r="D22" s="30" t="s">
        <v>59</v>
      </c>
      <c r="E22" s="23" t="s">
        <v>197</v>
      </c>
      <c r="F22" s="34">
        <f t="shared" si="2"/>
        <v>3906000</v>
      </c>
      <c r="G22" s="35">
        <f>G23</f>
        <v>3906000</v>
      </c>
      <c r="H22" s="35">
        <f>H23</f>
        <v>0</v>
      </c>
      <c r="I22" s="35">
        <f>I23</f>
        <v>0</v>
      </c>
      <c r="J22" s="35">
        <f>J23</f>
        <v>0</v>
      </c>
      <c r="K22" s="34">
        <f t="shared" si="3"/>
        <v>0</v>
      </c>
      <c r="L22" s="35">
        <f>L23</f>
        <v>0</v>
      </c>
      <c r="M22" s="35">
        <f>M23</f>
        <v>0</v>
      </c>
      <c r="N22" s="35">
        <f>N23</f>
        <v>0</v>
      </c>
      <c r="O22" s="35">
        <f>O23</f>
        <v>0</v>
      </c>
      <c r="P22" s="35">
        <f>P23</f>
        <v>0</v>
      </c>
      <c r="Q22" s="34">
        <f t="shared" si="4"/>
        <v>3906000</v>
      </c>
    </row>
    <row r="23" spans="2:17" s="13" customFormat="1" ht="30" customHeight="1">
      <c r="B23" s="31"/>
      <c r="C23" s="29"/>
      <c r="D23" s="30"/>
      <c r="E23" s="32" t="s">
        <v>138</v>
      </c>
      <c r="F23" s="34">
        <f t="shared" si="2"/>
        <v>3906000</v>
      </c>
      <c r="G23" s="35">
        <f>2554100+1125000-250100+130000+307000+40000</f>
        <v>3906000</v>
      </c>
      <c r="H23" s="35"/>
      <c r="I23" s="35"/>
      <c r="J23" s="35"/>
      <c r="K23" s="34">
        <f t="shared" si="3"/>
        <v>0</v>
      </c>
      <c r="L23" s="35"/>
      <c r="M23" s="35"/>
      <c r="N23" s="35"/>
      <c r="O23" s="35"/>
      <c r="P23" s="35"/>
      <c r="Q23" s="34">
        <f t="shared" si="4"/>
        <v>3906000</v>
      </c>
    </row>
    <row r="24" spans="2:17" s="13" customFormat="1" ht="30" customHeight="1">
      <c r="B24" s="17" t="s">
        <v>198</v>
      </c>
      <c r="C24" s="29">
        <v>2140</v>
      </c>
      <c r="D24" s="30"/>
      <c r="E24" s="46" t="s">
        <v>199</v>
      </c>
      <c r="F24" s="34">
        <f>F25</f>
        <v>983018</v>
      </c>
      <c r="G24" s="35">
        <f aca="true" t="shared" si="7" ref="G24:P24">G25</f>
        <v>983018</v>
      </c>
      <c r="H24" s="35">
        <f t="shared" si="7"/>
        <v>0</v>
      </c>
      <c r="I24" s="35">
        <f t="shared" si="7"/>
        <v>0</v>
      </c>
      <c r="J24" s="35">
        <f t="shared" si="7"/>
        <v>0</v>
      </c>
      <c r="K24" s="34">
        <f t="shared" si="7"/>
        <v>0</v>
      </c>
      <c r="L24" s="35">
        <f t="shared" si="7"/>
        <v>0</v>
      </c>
      <c r="M24" s="35">
        <f t="shared" si="7"/>
        <v>0</v>
      </c>
      <c r="N24" s="35">
        <f t="shared" si="7"/>
        <v>0</v>
      </c>
      <c r="O24" s="35">
        <f t="shared" si="7"/>
        <v>0</v>
      </c>
      <c r="P24" s="35">
        <f t="shared" si="7"/>
        <v>0</v>
      </c>
      <c r="Q24" s="34">
        <f t="shared" si="4"/>
        <v>983018</v>
      </c>
    </row>
    <row r="25" spans="2:17" s="13" customFormat="1" ht="30" customHeight="1">
      <c r="B25" s="17" t="s">
        <v>153</v>
      </c>
      <c r="C25" s="29">
        <v>2144</v>
      </c>
      <c r="D25" s="30" t="s">
        <v>151</v>
      </c>
      <c r="E25" s="46" t="s">
        <v>152</v>
      </c>
      <c r="F25" s="34">
        <f t="shared" si="2"/>
        <v>983018</v>
      </c>
      <c r="G25" s="35">
        <f>1166090-183072</f>
        <v>983018</v>
      </c>
      <c r="H25" s="35"/>
      <c r="I25" s="35"/>
      <c r="J25" s="35"/>
      <c r="K25" s="34">
        <f t="shared" si="3"/>
        <v>0</v>
      </c>
      <c r="L25" s="35"/>
      <c r="M25" s="35"/>
      <c r="N25" s="35"/>
      <c r="O25" s="35"/>
      <c r="P25" s="35"/>
      <c r="Q25" s="34">
        <f t="shared" si="4"/>
        <v>983018</v>
      </c>
    </row>
    <row r="26" spans="2:17" s="13" customFormat="1" ht="60.75" customHeight="1">
      <c r="B26" s="17" t="s">
        <v>200</v>
      </c>
      <c r="C26" s="29">
        <v>3030</v>
      </c>
      <c r="D26" s="30"/>
      <c r="E26" s="46" t="s">
        <v>201</v>
      </c>
      <c r="F26" s="34">
        <f>F27+F29+F31</f>
        <v>836700</v>
      </c>
      <c r="G26" s="35">
        <f aca="true" t="shared" si="8" ref="G26:P26">G27+G29+G31</f>
        <v>836700</v>
      </c>
      <c r="H26" s="35">
        <f t="shared" si="8"/>
        <v>0</v>
      </c>
      <c r="I26" s="35">
        <f t="shared" si="8"/>
        <v>0</v>
      </c>
      <c r="J26" s="35">
        <f t="shared" si="8"/>
        <v>0</v>
      </c>
      <c r="K26" s="34">
        <f t="shared" si="8"/>
        <v>0</v>
      </c>
      <c r="L26" s="35">
        <f t="shared" si="8"/>
        <v>0</v>
      </c>
      <c r="M26" s="35">
        <f t="shared" si="8"/>
        <v>0</v>
      </c>
      <c r="N26" s="35">
        <f t="shared" si="8"/>
        <v>0</v>
      </c>
      <c r="O26" s="35">
        <f t="shared" si="8"/>
        <v>0</v>
      </c>
      <c r="P26" s="35">
        <f t="shared" si="8"/>
        <v>0</v>
      </c>
      <c r="Q26" s="34">
        <f t="shared" si="4"/>
        <v>836700</v>
      </c>
    </row>
    <row r="27" spans="2:17" s="13" customFormat="1" ht="30" hidden="1">
      <c r="B27" s="17" t="s">
        <v>114</v>
      </c>
      <c r="C27" s="11">
        <v>3032</v>
      </c>
      <c r="D27" s="10" t="s">
        <v>16</v>
      </c>
      <c r="E27" s="46" t="s">
        <v>36</v>
      </c>
      <c r="F27" s="34">
        <f t="shared" si="2"/>
        <v>0</v>
      </c>
      <c r="G27" s="35">
        <f>G28</f>
        <v>0</v>
      </c>
      <c r="H27" s="35">
        <f aca="true" t="shared" si="9" ref="H27:P27">H28</f>
        <v>0</v>
      </c>
      <c r="I27" s="35">
        <f t="shared" si="9"/>
        <v>0</v>
      </c>
      <c r="J27" s="35">
        <f t="shared" si="9"/>
        <v>0</v>
      </c>
      <c r="K27" s="34">
        <f t="shared" si="3"/>
        <v>0</v>
      </c>
      <c r="L27" s="35">
        <f t="shared" si="9"/>
        <v>0</v>
      </c>
      <c r="M27" s="35">
        <f t="shared" si="9"/>
        <v>0</v>
      </c>
      <c r="N27" s="35">
        <f t="shared" si="9"/>
        <v>0</v>
      </c>
      <c r="O27" s="35">
        <f t="shared" si="9"/>
        <v>0</v>
      </c>
      <c r="P27" s="35">
        <f t="shared" si="9"/>
        <v>0</v>
      </c>
      <c r="Q27" s="34">
        <f t="shared" si="4"/>
        <v>0</v>
      </c>
    </row>
    <row r="28" spans="1:17" s="13" customFormat="1" ht="25.5" hidden="1">
      <c r="A28" s="13">
        <v>130115</v>
      </c>
      <c r="B28" s="31"/>
      <c r="C28" s="11"/>
      <c r="D28" s="10"/>
      <c r="E28" s="32" t="s">
        <v>142</v>
      </c>
      <c r="F28" s="34">
        <f t="shared" si="2"/>
        <v>0</v>
      </c>
      <c r="G28" s="35">
        <f>83700-83700</f>
        <v>0</v>
      </c>
      <c r="H28" s="35"/>
      <c r="I28" s="35"/>
      <c r="J28" s="35"/>
      <c r="K28" s="34">
        <f t="shared" si="3"/>
        <v>0</v>
      </c>
      <c r="L28" s="35"/>
      <c r="M28" s="35"/>
      <c r="N28" s="35"/>
      <c r="O28" s="35"/>
      <c r="P28" s="35"/>
      <c r="Q28" s="34">
        <f t="shared" si="4"/>
        <v>0</v>
      </c>
    </row>
    <row r="29" spans="2:17" s="13" customFormat="1" ht="45.75" customHeight="1">
      <c r="B29" s="17" t="s">
        <v>115</v>
      </c>
      <c r="C29" s="11">
        <v>3033</v>
      </c>
      <c r="D29" s="10" t="s">
        <v>16</v>
      </c>
      <c r="E29" s="45" t="s">
        <v>32</v>
      </c>
      <c r="F29" s="34">
        <f t="shared" si="2"/>
        <v>817900</v>
      </c>
      <c r="G29" s="35">
        <f>G30</f>
        <v>817900</v>
      </c>
      <c r="H29" s="35">
        <f aca="true" t="shared" si="10" ref="H29:P29">H30</f>
        <v>0</v>
      </c>
      <c r="I29" s="35">
        <f t="shared" si="10"/>
        <v>0</v>
      </c>
      <c r="J29" s="35">
        <f t="shared" si="10"/>
        <v>0</v>
      </c>
      <c r="K29" s="34">
        <f t="shared" si="3"/>
        <v>0</v>
      </c>
      <c r="L29" s="35">
        <f t="shared" si="10"/>
        <v>0</v>
      </c>
      <c r="M29" s="35">
        <f t="shared" si="10"/>
        <v>0</v>
      </c>
      <c r="N29" s="35">
        <f t="shared" si="10"/>
        <v>0</v>
      </c>
      <c r="O29" s="35">
        <f t="shared" si="10"/>
        <v>0</v>
      </c>
      <c r="P29" s="35">
        <f t="shared" si="10"/>
        <v>0</v>
      </c>
      <c r="Q29" s="34">
        <f t="shared" si="4"/>
        <v>817900</v>
      </c>
    </row>
    <row r="30" spans="2:17" s="13" customFormat="1" ht="44.25" customHeight="1">
      <c r="B30" s="31"/>
      <c r="C30" s="11"/>
      <c r="D30" s="10"/>
      <c r="E30" s="32" t="s">
        <v>143</v>
      </c>
      <c r="F30" s="34">
        <f t="shared" si="2"/>
        <v>817900</v>
      </c>
      <c r="G30" s="35">
        <v>817900</v>
      </c>
      <c r="H30" s="35"/>
      <c r="I30" s="35"/>
      <c r="J30" s="35"/>
      <c r="K30" s="34">
        <f t="shared" si="3"/>
        <v>0</v>
      </c>
      <c r="L30" s="35"/>
      <c r="M30" s="35"/>
      <c r="N30" s="35"/>
      <c r="O30" s="35"/>
      <c r="P30" s="35"/>
      <c r="Q30" s="34">
        <f t="shared" si="4"/>
        <v>817900</v>
      </c>
    </row>
    <row r="31" spans="1:17" s="13" customFormat="1" ht="33" customHeight="1">
      <c r="A31" s="13">
        <v>150101</v>
      </c>
      <c r="B31" s="17" t="s">
        <v>116</v>
      </c>
      <c r="C31" s="11">
        <v>3035</v>
      </c>
      <c r="D31" s="10" t="s">
        <v>16</v>
      </c>
      <c r="E31" s="45" t="s">
        <v>49</v>
      </c>
      <c r="F31" s="34">
        <f t="shared" si="2"/>
        <v>18800</v>
      </c>
      <c r="G31" s="35">
        <f>G32</f>
        <v>18800</v>
      </c>
      <c r="H31" s="35">
        <f aca="true" t="shared" si="11" ref="H31:P31">H32</f>
        <v>0</v>
      </c>
      <c r="I31" s="35">
        <f t="shared" si="11"/>
        <v>0</v>
      </c>
      <c r="J31" s="35">
        <f t="shared" si="11"/>
        <v>0</v>
      </c>
      <c r="K31" s="34">
        <f t="shared" si="3"/>
        <v>0</v>
      </c>
      <c r="L31" s="35">
        <f t="shared" si="11"/>
        <v>0</v>
      </c>
      <c r="M31" s="35">
        <f t="shared" si="11"/>
        <v>0</v>
      </c>
      <c r="N31" s="35">
        <f t="shared" si="11"/>
        <v>0</v>
      </c>
      <c r="O31" s="35">
        <f t="shared" si="11"/>
        <v>0</v>
      </c>
      <c r="P31" s="35">
        <f t="shared" si="11"/>
        <v>0</v>
      </c>
      <c r="Q31" s="34">
        <f t="shared" si="4"/>
        <v>18800</v>
      </c>
    </row>
    <row r="32" spans="2:17" s="13" customFormat="1" ht="30" customHeight="1">
      <c r="B32" s="31"/>
      <c r="C32" s="11"/>
      <c r="D32" s="10"/>
      <c r="E32" s="32" t="s">
        <v>142</v>
      </c>
      <c r="F32" s="34">
        <f t="shared" si="2"/>
        <v>18800</v>
      </c>
      <c r="G32" s="35">
        <v>18800</v>
      </c>
      <c r="H32" s="35"/>
      <c r="I32" s="35"/>
      <c r="J32" s="35"/>
      <c r="K32" s="34">
        <f t="shared" si="3"/>
        <v>0</v>
      </c>
      <c r="L32" s="35"/>
      <c r="M32" s="35"/>
      <c r="N32" s="35"/>
      <c r="O32" s="35"/>
      <c r="P32" s="35"/>
      <c r="Q32" s="34">
        <f t="shared" si="4"/>
        <v>18800</v>
      </c>
    </row>
    <row r="33" spans="2:17" s="13" customFormat="1" ht="50.25" customHeight="1">
      <c r="B33" s="17" t="s">
        <v>202</v>
      </c>
      <c r="C33" s="29">
        <v>3100</v>
      </c>
      <c r="D33" s="10"/>
      <c r="E33" s="46" t="s">
        <v>203</v>
      </c>
      <c r="F33" s="34">
        <f>F34</f>
        <v>1585597</v>
      </c>
      <c r="G33" s="35">
        <f aca="true" t="shared" si="12" ref="G33:P33">G34</f>
        <v>1585597</v>
      </c>
      <c r="H33" s="35">
        <f t="shared" si="12"/>
        <v>1234604</v>
      </c>
      <c r="I33" s="35">
        <f t="shared" si="12"/>
        <v>20137</v>
      </c>
      <c r="J33" s="35">
        <f t="shared" si="12"/>
        <v>0</v>
      </c>
      <c r="K33" s="34">
        <f t="shared" si="12"/>
        <v>12</v>
      </c>
      <c r="L33" s="35">
        <f t="shared" si="12"/>
        <v>0</v>
      </c>
      <c r="M33" s="35">
        <f t="shared" si="12"/>
        <v>12</v>
      </c>
      <c r="N33" s="35">
        <f t="shared" si="12"/>
        <v>0</v>
      </c>
      <c r="O33" s="35">
        <f t="shared" si="12"/>
        <v>0</v>
      </c>
      <c r="P33" s="35">
        <f t="shared" si="12"/>
        <v>0</v>
      </c>
      <c r="Q33" s="34">
        <f>F33+K33</f>
        <v>1585609</v>
      </c>
    </row>
    <row r="34" spans="2:17" s="13" customFormat="1" ht="65.25" customHeight="1">
      <c r="B34" s="17" t="s">
        <v>117</v>
      </c>
      <c r="C34" s="29">
        <v>3104</v>
      </c>
      <c r="D34" s="30" t="s">
        <v>30</v>
      </c>
      <c r="E34" s="23" t="s">
        <v>1</v>
      </c>
      <c r="F34" s="34">
        <f t="shared" si="2"/>
        <v>1585597</v>
      </c>
      <c r="G34" s="35">
        <f>8928200-6965541-377034-28</f>
        <v>1585597</v>
      </c>
      <c r="H34" s="35">
        <f>6596300+409900-310434-5461162</f>
        <v>1234604</v>
      </c>
      <c r="I34" s="35">
        <f>55900-35735-28</f>
        <v>20137</v>
      </c>
      <c r="J34" s="35"/>
      <c r="K34" s="34">
        <f t="shared" si="3"/>
        <v>12</v>
      </c>
      <c r="L34" s="35"/>
      <c r="M34" s="35">
        <f>140000-139988</f>
        <v>12</v>
      </c>
      <c r="N34" s="35">
        <f>91900-91900</f>
        <v>0</v>
      </c>
      <c r="O34" s="35">
        <f>2800-2800</f>
        <v>0</v>
      </c>
      <c r="P34" s="35"/>
      <c r="Q34" s="34">
        <f>F34+K34</f>
        <v>1585609</v>
      </c>
    </row>
    <row r="35" spans="2:17" s="13" customFormat="1" ht="65.25" customHeight="1" hidden="1">
      <c r="B35" s="50" t="s">
        <v>136</v>
      </c>
      <c r="C35" s="29">
        <v>3112</v>
      </c>
      <c r="D35" s="30" t="s">
        <v>4</v>
      </c>
      <c r="E35" s="23" t="s">
        <v>135</v>
      </c>
      <c r="F35" s="34">
        <f t="shared" si="2"/>
        <v>0</v>
      </c>
      <c r="G35" s="35"/>
      <c r="H35" s="35"/>
      <c r="I35" s="35"/>
      <c r="J35" s="35"/>
      <c r="K35" s="34">
        <f t="shared" si="3"/>
        <v>0</v>
      </c>
      <c r="L35" s="35"/>
      <c r="M35" s="35"/>
      <c r="N35" s="35"/>
      <c r="O35" s="35"/>
      <c r="P35" s="35"/>
      <c r="Q35" s="34">
        <f>F35+K36</f>
        <v>0</v>
      </c>
    </row>
    <row r="36" spans="2:17" s="13" customFormat="1" ht="35.25" customHeight="1">
      <c r="B36" s="17"/>
      <c r="C36" s="29"/>
      <c r="D36" s="30"/>
      <c r="E36" s="32" t="s">
        <v>142</v>
      </c>
      <c r="F36" s="34">
        <f t="shared" si="2"/>
        <v>122966</v>
      </c>
      <c r="G36" s="35">
        <f>500000-377034</f>
        <v>122966</v>
      </c>
      <c r="H36" s="35">
        <f>409900-310434</f>
        <v>99466</v>
      </c>
      <c r="I36" s="35"/>
      <c r="J36" s="35"/>
      <c r="K36" s="34">
        <f t="shared" si="3"/>
        <v>0</v>
      </c>
      <c r="L36" s="35"/>
      <c r="M36" s="35"/>
      <c r="N36" s="35"/>
      <c r="O36" s="35"/>
      <c r="P36" s="35"/>
      <c r="Q36" s="34">
        <f>F36+K38</f>
        <v>122966</v>
      </c>
    </row>
    <row r="37" spans="2:17" s="13" customFormat="1" ht="35.25" customHeight="1">
      <c r="B37" s="17" t="s">
        <v>204</v>
      </c>
      <c r="C37" s="29">
        <v>3130</v>
      </c>
      <c r="D37" s="30"/>
      <c r="E37" s="46" t="s">
        <v>205</v>
      </c>
      <c r="F37" s="34">
        <f>F38</f>
        <v>59900</v>
      </c>
      <c r="G37" s="35">
        <f aca="true" t="shared" si="13" ref="G37:P37">G38</f>
        <v>59900</v>
      </c>
      <c r="H37" s="35">
        <f t="shared" si="13"/>
        <v>0</v>
      </c>
      <c r="I37" s="35">
        <f t="shared" si="13"/>
        <v>0</v>
      </c>
      <c r="J37" s="35">
        <f t="shared" si="13"/>
        <v>0</v>
      </c>
      <c r="K37" s="34">
        <f t="shared" si="13"/>
        <v>0</v>
      </c>
      <c r="L37" s="35">
        <f t="shared" si="13"/>
        <v>0</v>
      </c>
      <c r="M37" s="35">
        <f t="shared" si="13"/>
        <v>0</v>
      </c>
      <c r="N37" s="35">
        <f t="shared" si="13"/>
        <v>0</v>
      </c>
      <c r="O37" s="35">
        <f t="shared" si="13"/>
        <v>0</v>
      </c>
      <c r="P37" s="35">
        <f t="shared" si="13"/>
        <v>0</v>
      </c>
      <c r="Q37" s="34">
        <f>F37+K39</f>
        <v>59900</v>
      </c>
    </row>
    <row r="38" spans="2:17" s="13" customFormat="1" ht="27" customHeight="1">
      <c r="B38" s="36" t="s">
        <v>118</v>
      </c>
      <c r="C38" s="18" t="s">
        <v>61</v>
      </c>
      <c r="D38" s="18" t="s">
        <v>4</v>
      </c>
      <c r="E38" s="19" t="s">
        <v>62</v>
      </c>
      <c r="F38" s="34">
        <f t="shared" si="2"/>
        <v>59900</v>
      </c>
      <c r="G38" s="35">
        <f>G39</f>
        <v>59900</v>
      </c>
      <c r="H38" s="35">
        <f aca="true" t="shared" si="14" ref="H38:P38">H39</f>
        <v>0</v>
      </c>
      <c r="I38" s="35">
        <f t="shared" si="14"/>
        <v>0</v>
      </c>
      <c r="J38" s="35">
        <f t="shared" si="14"/>
        <v>0</v>
      </c>
      <c r="K38" s="34">
        <f t="shared" si="3"/>
        <v>0</v>
      </c>
      <c r="L38" s="35">
        <f t="shared" si="14"/>
        <v>0</v>
      </c>
      <c r="M38" s="35">
        <f t="shared" si="14"/>
        <v>0</v>
      </c>
      <c r="N38" s="35">
        <f t="shared" si="14"/>
        <v>0</v>
      </c>
      <c r="O38" s="35">
        <f t="shared" si="14"/>
        <v>0</v>
      </c>
      <c r="P38" s="35">
        <f t="shared" si="14"/>
        <v>0</v>
      </c>
      <c r="Q38" s="34">
        <f t="shared" si="4"/>
        <v>59900</v>
      </c>
    </row>
    <row r="39" spans="2:17" s="13" customFormat="1" ht="24" customHeight="1">
      <c r="B39" s="36"/>
      <c r="C39" s="18"/>
      <c r="D39" s="18"/>
      <c r="E39" s="44" t="s">
        <v>139</v>
      </c>
      <c r="F39" s="34">
        <f t="shared" si="2"/>
        <v>59900</v>
      </c>
      <c r="G39" s="35">
        <f>124400-64500</f>
        <v>59900</v>
      </c>
      <c r="H39" s="35"/>
      <c r="I39" s="35"/>
      <c r="J39" s="35"/>
      <c r="K39" s="34">
        <f t="shared" si="3"/>
        <v>0</v>
      </c>
      <c r="L39" s="35"/>
      <c r="M39" s="35"/>
      <c r="N39" s="35"/>
      <c r="O39" s="35"/>
      <c r="P39" s="35"/>
      <c r="Q39" s="34">
        <f t="shared" si="4"/>
        <v>59900</v>
      </c>
    </row>
    <row r="40" spans="2:17" s="13" customFormat="1" ht="56.25" customHeight="1" hidden="1">
      <c r="B40" s="17" t="s">
        <v>119</v>
      </c>
      <c r="C40" s="29">
        <v>3160</v>
      </c>
      <c r="D40" s="30" t="s">
        <v>0</v>
      </c>
      <c r="E40" s="42" t="s">
        <v>57</v>
      </c>
      <c r="F40" s="34">
        <f t="shared" si="2"/>
        <v>0</v>
      </c>
      <c r="G40" s="35">
        <f>G41</f>
        <v>0</v>
      </c>
      <c r="H40" s="35">
        <f aca="true" t="shared" si="15" ref="H40:P40">H41</f>
        <v>0</v>
      </c>
      <c r="I40" s="35">
        <f t="shared" si="15"/>
        <v>0</v>
      </c>
      <c r="J40" s="35">
        <f t="shared" si="15"/>
        <v>0</v>
      </c>
      <c r="K40" s="34">
        <f t="shared" si="3"/>
        <v>0</v>
      </c>
      <c r="L40" s="35">
        <f t="shared" si="15"/>
        <v>0</v>
      </c>
      <c r="M40" s="35">
        <f t="shared" si="15"/>
        <v>0</v>
      </c>
      <c r="N40" s="35">
        <f t="shared" si="15"/>
        <v>0</v>
      </c>
      <c r="O40" s="35">
        <f t="shared" si="15"/>
        <v>0</v>
      </c>
      <c r="P40" s="35">
        <f t="shared" si="15"/>
        <v>0</v>
      </c>
      <c r="Q40" s="34">
        <f t="shared" si="4"/>
        <v>0</v>
      </c>
    </row>
    <row r="41" spans="2:17" s="13" customFormat="1" ht="25.5" customHeight="1" hidden="1">
      <c r="B41" s="31"/>
      <c r="C41" s="29"/>
      <c r="D41" s="30"/>
      <c r="E41" s="32" t="s">
        <v>142</v>
      </c>
      <c r="F41" s="34">
        <f t="shared" si="2"/>
        <v>0</v>
      </c>
      <c r="G41" s="35">
        <f>75000-75000</f>
        <v>0</v>
      </c>
      <c r="H41" s="35"/>
      <c r="I41" s="35"/>
      <c r="J41" s="35"/>
      <c r="K41" s="34">
        <f t="shared" si="3"/>
        <v>0</v>
      </c>
      <c r="L41" s="35"/>
      <c r="M41" s="35"/>
      <c r="N41" s="35"/>
      <c r="O41" s="35"/>
      <c r="P41" s="35"/>
      <c r="Q41" s="34">
        <f t="shared" si="4"/>
        <v>0</v>
      </c>
    </row>
    <row r="42" spans="2:17" s="13" customFormat="1" ht="28.5" customHeight="1">
      <c r="B42" s="39" t="s">
        <v>121</v>
      </c>
      <c r="C42" s="11">
        <v>3210</v>
      </c>
      <c r="D42" s="21" t="s">
        <v>81</v>
      </c>
      <c r="E42" s="19" t="s">
        <v>80</v>
      </c>
      <c r="F42" s="34">
        <f t="shared" si="2"/>
        <v>465000</v>
      </c>
      <c r="G42" s="35">
        <f>G43</f>
        <v>465000</v>
      </c>
      <c r="H42" s="35">
        <f aca="true" t="shared" si="16" ref="H42:P42">H43</f>
        <v>381000</v>
      </c>
      <c r="I42" s="35">
        <f t="shared" si="16"/>
        <v>0</v>
      </c>
      <c r="J42" s="35">
        <f t="shared" si="16"/>
        <v>0</v>
      </c>
      <c r="K42" s="34">
        <f t="shared" si="3"/>
        <v>0</v>
      </c>
      <c r="L42" s="35">
        <f t="shared" si="16"/>
        <v>0</v>
      </c>
      <c r="M42" s="35">
        <f t="shared" si="16"/>
        <v>0</v>
      </c>
      <c r="N42" s="35">
        <f t="shared" si="16"/>
        <v>0</v>
      </c>
      <c r="O42" s="35">
        <f t="shared" si="16"/>
        <v>0</v>
      </c>
      <c r="P42" s="35">
        <f t="shared" si="16"/>
        <v>0</v>
      </c>
      <c r="Q42" s="34">
        <f t="shared" si="4"/>
        <v>465000</v>
      </c>
    </row>
    <row r="43" spans="2:17" s="13" customFormat="1" ht="30.75" customHeight="1">
      <c r="B43" s="39"/>
      <c r="C43" s="11"/>
      <c r="D43" s="21"/>
      <c r="E43" s="32" t="s">
        <v>140</v>
      </c>
      <c r="F43" s="34">
        <f t="shared" si="2"/>
        <v>465000</v>
      </c>
      <c r="G43" s="35">
        <v>465000</v>
      </c>
      <c r="H43" s="35">
        <v>381000</v>
      </c>
      <c r="I43" s="35"/>
      <c r="J43" s="35"/>
      <c r="K43" s="34">
        <f t="shared" si="3"/>
        <v>0</v>
      </c>
      <c r="L43" s="35"/>
      <c r="M43" s="35"/>
      <c r="N43" s="35"/>
      <c r="O43" s="35"/>
      <c r="P43" s="35"/>
      <c r="Q43" s="34">
        <f t="shared" si="4"/>
        <v>465000</v>
      </c>
    </row>
    <row r="44" spans="2:17" s="13" customFormat="1" ht="30.75" customHeight="1">
      <c r="B44" s="39" t="s">
        <v>206</v>
      </c>
      <c r="C44" s="11">
        <v>3240</v>
      </c>
      <c r="D44" s="21"/>
      <c r="E44" s="19" t="s">
        <v>207</v>
      </c>
      <c r="F44" s="34">
        <f>F45</f>
        <v>669900</v>
      </c>
      <c r="G44" s="35">
        <f aca="true" t="shared" si="17" ref="G44:P44">G45</f>
        <v>669900</v>
      </c>
      <c r="H44" s="35">
        <f t="shared" si="17"/>
        <v>0</v>
      </c>
      <c r="I44" s="35">
        <f t="shared" si="17"/>
        <v>0</v>
      </c>
      <c r="J44" s="35">
        <f t="shared" si="17"/>
        <v>0</v>
      </c>
      <c r="K44" s="34">
        <f t="shared" si="17"/>
        <v>0</v>
      </c>
      <c r="L44" s="35">
        <f t="shared" si="17"/>
        <v>0</v>
      </c>
      <c r="M44" s="35">
        <f t="shared" si="17"/>
        <v>0</v>
      </c>
      <c r="N44" s="35">
        <f t="shared" si="17"/>
        <v>0</v>
      </c>
      <c r="O44" s="35">
        <f t="shared" si="17"/>
        <v>0</v>
      </c>
      <c r="P44" s="35">
        <f t="shared" si="17"/>
        <v>0</v>
      </c>
      <c r="Q44" s="34">
        <f t="shared" si="4"/>
        <v>669900</v>
      </c>
    </row>
    <row r="45" spans="2:17" s="13" customFormat="1" ht="28.5" customHeight="1">
      <c r="B45" s="17" t="s">
        <v>120</v>
      </c>
      <c r="C45" s="29">
        <v>3242</v>
      </c>
      <c r="D45" s="30" t="s">
        <v>5</v>
      </c>
      <c r="E45" s="46" t="s">
        <v>58</v>
      </c>
      <c r="F45" s="34">
        <f t="shared" si="2"/>
        <v>669900</v>
      </c>
      <c r="G45" s="35">
        <f>G46</f>
        <v>669900</v>
      </c>
      <c r="H45" s="35">
        <f aca="true" t="shared" si="18" ref="H45:P45">H46</f>
        <v>0</v>
      </c>
      <c r="I45" s="35">
        <f t="shared" si="18"/>
        <v>0</v>
      </c>
      <c r="J45" s="35">
        <f t="shared" si="18"/>
        <v>0</v>
      </c>
      <c r="K45" s="34">
        <f t="shared" si="3"/>
        <v>0</v>
      </c>
      <c r="L45" s="35">
        <f t="shared" si="18"/>
        <v>0</v>
      </c>
      <c r="M45" s="35">
        <f t="shared" si="18"/>
        <v>0</v>
      </c>
      <c r="N45" s="35">
        <f t="shared" si="18"/>
        <v>0</v>
      </c>
      <c r="O45" s="35">
        <f t="shared" si="18"/>
        <v>0</v>
      </c>
      <c r="P45" s="35">
        <f t="shared" si="18"/>
        <v>0</v>
      </c>
      <c r="Q45" s="34">
        <f t="shared" si="4"/>
        <v>669900</v>
      </c>
    </row>
    <row r="46" spans="2:17" s="13" customFormat="1" ht="35.25" customHeight="1">
      <c r="B46" s="31"/>
      <c r="C46" s="29"/>
      <c r="D46" s="30"/>
      <c r="E46" s="32" t="s">
        <v>142</v>
      </c>
      <c r="F46" s="34">
        <f t="shared" si="2"/>
        <v>669900</v>
      </c>
      <c r="G46" s="35">
        <f>269900+878560-878560+400000</f>
        <v>669900</v>
      </c>
      <c r="H46" s="35"/>
      <c r="I46" s="35"/>
      <c r="J46" s="35"/>
      <c r="K46" s="34">
        <f t="shared" si="3"/>
        <v>0</v>
      </c>
      <c r="L46" s="35"/>
      <c r="M46" s="35"/>
      <c r="N46" s="35"/>
      <c r="O46" s="35"/>
      <c r="P46" s="35"/>
      <c r="Q46" s="34">
        <f t="shared" si="4"/>
        <v>669900</v>
      </c>
    </row>
    <row r="47" spans="2:17" s="13" customFormat="1" ht="35.25" customHeight="1">
      <c r="B47" s="39" t="s">
        <v>208</v>
      </c>
      <c r="C47" s="11">
        <v>5010</v>
      </c>
      <c r="D47" s="30"/>
      <c r="E47" s="46" t="s">
        <v>209</v>
      </c>
      <c r="F47" s="34">
        <f>F48</f>
        <v>55000</v>
      </c>
      <c r="G47" s="35">
        <f aca="true" t="shared" si="19" ref="G47:P47">G48</f>
        <v>55000</v>
      </c>
      <c r="H47" s="35">
        <f t="shared" si="19"/>
        <v>0</v>
      </c>
      <c r="I47" s="35">
        <f t="shared" si="19"/>
        <v>0</v>
      </c>
      <c r="J47" s="35">
        <f t="shared" si="19"/>
        <v>0</v>
      </c>
      <c r="K47" s="34">
        <f t="shared" si="19"/>
        <v>0</v>
      </c>
      <c r="L47" s="35">
        <f t="shared" si="19"/>
        <v>0</v>
      </c>
      <c r="M47" s="35">
        <f t="shared" si="19"/>
        <v>0</v>
      </c>
      <c r="N47" s="35">
        <f t="shared" si="19"/>
        <v>0</v>
      </c>
      <c r="O47" s="35">
        <f t="shared" si="19"/>
        <v>0</v>
      </c>
      <c r="P47" s="35">
        <f t="shared" si="19"/>
        <v>0</v>
      </c>
      <c r="Q47" s="34">
        <f t="shared" si="4"/>
        <v>55000</v>
      </c>
    </row>
    <row r="48" spans="2:17" s="13" customFormat="1" ht="35.25" customHeight="1">
      <c r="B48" s="39" t="s">
        <v>122</v>
      </c>
      <c r="C48" s="11">
        <v>5012</v>
      </c>
      <c r="D48" s="21" t="s">
        <v>27</v>
      </c>
      <c r="E48" s="46" t="s">
        <v>82</v>
      </c>
      <c r="F48" s="34">
        <f t="shared" si="2"/>
        <v>55000</v>
      </c>
      <c r="G48" s="35">
        <f>G49</f>
        <v>55000</v>
      </c>
      <c r="H48" s="35">
        <f aca="true" t="shared" si="20" ref="H48:P48">H49</f>
        <v>0</v>
      </c>
      <c r="I48" s="35">
        <f t="shared" si="20"/>
        <v>0</v>
      </c>
      <c r="J48" s="35">
        <f t="shared" si="20"/>
        <v>0</v>
      </c>
      <c r="K48" s="34">
        <f t="shared" si="3"/>
        <v>0</v>
      </c>
      <c r="L48" s="35">
        <f t="shared" si="20"/>
        <v>0</v>
      </c>
      <c r="M48" s="35">
        <f t="shared" si="20"/>
        <v>0</v>
      </c>
      <c r="N48" s="35">
        <f t="shared" si="20"/>
        <v>0</v>
      </c>
      <c r="O48" s="35">
        <f t="shared" si="20"/>
        <v>0</v>
      </c>
      <c r="P48" s="35">
        <f t="shared" si="20"/>
        <v>0</v>
      </c>
      <c r="Q48" s="34">
        <f t="shared" si="4"/>
        <v>55000</v>
      </c>
    </row>
    <row r="49" spans="2:17" s="13" customFormat="1" ht="23.25" customHeight="1">
      <c r="B49" s="39"/>
      <c r="C49" s="11"/>
      <c r="D49" s="21"/>
      <c r="E49" s="32" t="s">
        <v>141</v>
      </c>
      <c r="F49" s="34">
        <f t="shared" si="2"/>
        <v>55000</v>
      </c>
      <c r="G49" s="35">
        <f>170000-115000</f>
        <v>55000</v>
      </c>
      <c r="H49" s="35"/>
      <c r="I49" s="35"/>
      <c r="J49" s="35"/>
      <c r="K49" s="34">
        <f t="shared" si="3"/>
        <v>0</v>
      </c>
      <c r="L49" s="35"/>
      <c r="M49" s="35"/>
      <c r="N49" s="35"/>
      <c r="O49" s="35"/>
      <c r="P49" s="35"/>
      <c r="Q49" s="34">
        <f t="shared" si="4"/>
        <v>55000</v>
      </c>
    </row>
    <row r="50" spans="2:17" s="13" customFormat="1" ht="23.25" customHeight="1">
      <c r="B50" s="33" t="s">
        <v>210</v>
      </c>
      <c r="C50" s="18" t="s">
        <v>211</v>
      </c>
      <c r="D50" s="21"/>
      <c r="E50" s="19" t="s">
        <v>212</v>
      </c>
      <c r="F50" s="34">
        <f>F51</f>
        <v>3906600</v>
      </c>
      <c r="G50" s="35">
        <f aca="true" t="shared" si="21" ref="G50:P50">G51</f>
        <v>3906600</v>
      </c>
      <c r="H50" s="35">
        <f t="shared" si="21"/>
        <v>2727000</v>
      </c>
      <c r="I50" s="35">
        <f t="shared" si="21"/>
        <v>306200</v>
      </c>
      <c r="J50" s="35">
        <f t="shared" si="21"/>
        <v>0</v>
      </c>
      <c r="K50" s="34">
        <f t="shared" si="21"/>
        <v>38500</v>
      </c>
      <c r="L50" s="35">
        <f t="shared" si="21"/>
        <v>38500</v>
      </c>
      <c r="M50" s="35">
        <f t="shared" si="21"/>
        <v>0</v>
      </c>
      <c r="N50" s="35">
        <f t="shared" si="21"/>
        <v>0</v>
      </c>
      <c r="O50" s="35">
        <f t="shared" si="21"/>
        <v>0</v>
      </c>
      <c r="P50" s="35">
        <f t="shared" si="21"/>
        <v>38500</v>
      </c>
      <c r="Q50" s="34">
        <f t="shared" si="4"/>
        <v>3945100</v>
      </c>
    </row>
    <row r="51" spans="2:17" s="13" customFormat="1" ht="38.25" customHeight="1">
      <c r="B51" s="33" t="s">
        <v>123</v>
      </c>
      <c r="C51" s="18" t="s">
        <v>33</v>
      </c>
      <c r="D51" s="18" t="s">
        <v>27</v>
      </c>
      <c r="E51" s="19" t="s">
        <v>48</v>
      </c>
      <c r="F51" s="34">
        <f t="shared" si="2"/>
        <v>3906600</v>
      </c>
      <c r="G51" s="35">
        <f>3722700+119400+64500</f>
        <v>3906600</v>
      </c>
      <c r="H51" s="35">
        <f>2632500+94500</f>
        <v>2727000</v>
      </c>
      <c r="I51" s="35">
        <v>306200</v>
      </c>
      <c r="J51" s="35"/>
      <c r="K51" s="34">
        <f t="shared" si="3"/>
        <v>38500</v>
      </c>
      <c r="L51" s="35">
        <v>38500</v>
      </c>
      <c r="M51" s="35"/>
      <c r="N51" s="35"/>
      <c r="O51" s="35"/>
      <c r="P51" s="35">
        <v>38500</v>
      </c>
      <c r="Q51" s="34">
        <f t="shared" si="4"/>
        <v>3945100</v>
      </c>
    </row>
    <row r="52" spans="2:17" s="13" customFormat="1" ht="24" customHeight="1">
      <c r="B52" s="33"/>
      <c r="C52" s="18"/>
      <c r="D52" s="18"/>
      <c r="E52" s="32" t="s">
        <v>141</v>
      </c>
      <c r="F52" s="34">
        <f t="shared" si="2"/>
        <v>100000</v>
      </c>
      <c r="G52" s="35">
        <v>100000</v>
      </c>
      <c r="H52" s="35"/>
      <c r="I52" s="35"/>
      <c r="J52" s="35"/>
      <c r="K52" s="34">
        <f t="shared" si="3"/>
        <v>0</v>
      </c>
      <c r="L52" s="35"/>
      <c r="M52" s="35"/>
      <c r="N52" s="35"/>
      <c r="O52" s="35"/>
      <c r="P52" s="35"/>
      <c r="Q52" s="34">
        <f t="shared" si="4"/>
        <v>100000</v>
      </c>
    </row>
    <row r="53" spans="2:17" s="13" customFormat="1" ht="24" customHeight="1">
      <c r="B53" s="33" t="s">
        <v>279</v>
      </c>
      <c r="C53" s="18" t="s">
        <v>280</v>
      </c>
      <c r="D53" s="18"/>
      <c r="E53" s="19" t="s">
        <v>278</v>
      </c>
      <c r="F53" s="34">
        <f t="shared" si="2"/>
        <v>115000</v>
      </c>
      <c r="G53" s="35">
        <f>G54</f>
        <v>115000</v>
      </c>
      <c r="H53" s="35">
        <f aca="true" t="shared" si="22" ref="H53:P53">H54</f>
        <v>0</v>
      </c>
      <c r="I53" s="35">
        <f t="shared" si="22"/>
        <v>0</v>
      </c>
      <c r="J53" s="35">
        <f t="shared" si="22"/>
        <v>0</v>
      </c>
      <c r="K53" s="35">
        <f t="shared" si="22"/>
        <v>0</v>
      </c>
      <c r="L53" s="35">
        <f t="shared" si="22"/>
        <v>0</v>
      </c>
      <c r="M53" s="35">
        <f t="shared" si="22"/>
        <v>0</v>
      </c>
      <c r="N53" s="35">
        <f t="shared" si="22"/>
        <v>0</v>
      </c>
      <c r="O53" s="35">
        <f t="shared" si="22"/>
        <v>0</v>
      </c>
      <c r="P53" s="35">
        <f t="shared" si="22"/>
        <v>0</v>
      </c>
      <c r="Q53" s="34">
        <f t="shared" si="4"/>
        <v>115000</v>
      </c>
    </row>
    <row r="54" spans="2:17" s="13" customFormat="1" ht="24" customHeight="1">
      <c r="B54" s="33" t="s">
        <v>281</v>
      </c>
      <c r="C54" s="18" t="s">
        <v>282</v>
      </c>
      <c r="D54" s="18" t="s">
        <v>27</v>
      </c>
      <c r="E54" s="19" t="s">
        <v>283</v>
      </c>
      <c r="F54" s="34">
        <f t="shared" si="2"/>
        <v>115000</v>
      </c>
      <c r="G54" s="35">
        <f>G55</f>
        <v>115000</v>
      </c>
      <c r="H54" s="35">
        <f aca="true" t="shared" si="23" ref="H54:P54">H55</f>
        <v>0</v>
      </c>
      <c r="I54" s="35">
        <f t="shared" si="23"/>
        <v>0</v>
      </c>
      <c r="J54" s="35">
        <f t="shared" si="23"/>
        <v>0</v>
      </c>
      <c r="K54" s="35">
        <f t="shared" si="23"/>
        <v>0</v>
      </c>
      <c r="L54" s="35">
        <f t="shared" si="23"/>
        <v>0</v>
      </c>
      <c r="M54" s="35">
        <f t="shared" si="23"/>
        <v>0</v>
      </c>
      <c r="N54" s="35">
        <f t="shared" si="23"/>
        <v>0</v>
      </c>
      <c r="O54" s="35">
        <f t="shared" si="23"/>
        <v>0</v>
      </c>
      <c r="P54" s="35">
        <f t="shared" si="23"/>
        <v>0</v>
      </c>
      <c r="Q54" s="34">
        <f t="shared" si="4"/>
        <v>115000</v>
      </c>
    </row>
    <row r="55" spans="2:17" s="13" customFormat="1" ht="24" customHeight="1">
      <c r="B55" s="33"/>
      <c r="C55" s="18"/>
      <c r="D55" s="18"/>
      <c r="E55" s="32" t="s">
        <v>141</v>
      </c>
      <c r="F55" s="34">
        <f t="shared" si="2"/>
        <v>115000</v>
      </c>
      <c r="G55" s="35">
        <v>115000</v>
      </c>
      <c r="H55" s="35"/>
      <c r="I55" s="35"/>
      <c r="J55" s="35"/>
      <c r="K55" s="34"/>
      <c r="L55" s="35"/>
      <c r="M55" s="35"/>
      <c r="N55" s="35"/>
      <c r="O55" s="35"/>
      <c r="P55" s="35"/>
      <c r="Q55" s="34">
        <f t="shared" si="4"/>
        <v>115000</v>
      </c>
    </row>
    <row r="56" spans="2:17" s="13" customFormat="1" ht="24" customHeight="1">
      <c r="B56" s="17" t="s">
        <v>213</v>
      </c>
      <c r="C56" s="21" t="s">
        <v>214</v>
      </c>
      <c r="D56" s="18"/>
      <c r="E56" s="23" t="s">
        <v>215</v>
      </c>
      <c r="F56" s="34">
        <f>F57</f>
        <v>130000</v>
      </c>
      <c r="G56" s="35">
        <f aca="true" t="shared" si="24" ref="G56:P56">G57</f>
        <v>130000</v>
      </c>
      <c r="H56" s="35">
        <f t="shared" si="24"/>
        <v>0</v>
      </c>
      <c r="I56" s="35">
        <f t="shared" si="24"/>
        <v>0</v>
      </c>
      <c r="J56" s="35">
        <f t="shared" si="24"/>
        <v>0</v>
      </c>
      <c r="K56" s="34">
        <f t="shared" si="24"/>
        <v>0</v>
      </c>
      <c r="L56" s="35">
        <f t="shared" si="24"/>
        <v>0</v>
      </c>
      <c r="M56" s="35">
        <f t="shared" si="24"/>
        <v>0</v>
      </c>
      <c r="N56" s="35">
        <f t="shared" si="24"/>
        <v>0</v>
      </c>
      <c r="O56" s="35">
        <f t="shared" si="24"/>
        <v>0</v>
      </c>
      <c r="P56" s="35">
        <f t="shared" si="24"/>
        <v>0</v>
      </c>
      <c r="Q56" s="34">
        <f t="shared" si="4"/>
        <v>130000</v>
      </c>
    </row>
    <row r="57" spans="1:17" s="13" customFormat="1" ht="45">
      <c r="A57" s="13">
        <v>180109</v>
      </c>
      <c r="B57" s="17" t="s">
        <v>124</v>
      </c>
      <c r="C57" s="21" t="s">
        <v>34</v>
      </c>
      <c r="D57" s="21" t="s">
        <v>27</v>
      </c>
      <c r="E57" s="23" t="s">
        <v>35</v>
      </c>
      <c r="F57" s="34">
        <f t="shared" si="2"/>
        <v>130000</v>
      </c>
      <c r="G57" s="35">
        <f>G58</f>
        <v>130000</v>
      </c>
      <c r="H57" s="35">
        <f aca="true" t="shared" si="25" ref="H57:P57">H58</f>
        <v>0</v>
      </c>
      <c r="I57" s="35">
        <f t="shared" si="25"/>
        <v>0</v>
      </c>
      <c r="J57" s="35">
        <f t="shared" si="25"/>
        <v>0</v>
      </c>
      <c r="K57" s="34">
        <f t="shared" si="3"/>
        <v>0</v>
      </c>
      <c r="L57" s="35">
        <f t="shared" si="25"/>
        <v>0</v>
      </c>
      <c r="M57" s="35">
        <f t="shared" si="25"/>
        <v>0</v>
      </c>
      <c r="N57" s="35">
        <f t="shared" si="25"/>
        <v>0</v>
      </c>
      <c r="O57" s="35">
        <f t="shared" si="25"/>
        <v>0</v>
      </c>
      <c r="P57" s="35">
        <f t="shared" si="25"/>
        <v>0</v>
      </c>
      <c r="Q57" s="34">
        <f t="shared" si="4"/>
        <v>130000</v>
      </c>
    </row>
    <row r="58" spans="2:17" s="13" customFormat="1" ht="44.25" customHeight="1">
      <c r="B58" s="17"/>
      <c r="C58" s="21"/>
      <c r="D58" s="21"/>
      <c r="E58" s="32" t="s">
        <v>290</v>
      </c>
      <c r="F58" s="34">
        <f t="shared" si="2"/>
        <v>130000</v>
      </c>
      <c r="G58" s="35">
        <v>130000</v>
      </c>
      <c r="H58" s="35"/>
      <c r="I58" s="35"/>
      <c r="J58" s="35"/>
      <c r="K58" s="34">
        <f t="shared" si="3"/>
        <v>0</v>
      </c>
      <c r="L58" s="35"/>
      <c r="M58" s="35"/>
      <c r="N58" s="35"/>
      <c r="O58" s="35"/>
      <c r="P58" s="35"/>
      <c r="Q58" s="34">
        <f t="shared" si="4"/>
        <v>130000</v>
      </c>
    </row>
    <row r="59" spans="2:17" s="13" customFormat="1" ht="31.5" customHeight="1">
      <c r="B59" s="17" t="s">
        <v>216</v>
      </c>
      <c r="C59" s="21" t="s">
        <v>217</v>
      </c>
      <c r="D59" s="21"/>
      <c r="E59" s="23" t="s">
        <v>218</v>
      </c>
      <c r="F59" s="34">
        <f>F62+F60</f>
        <v>2966947</v>
      </c>
      <c r="G59" s="35">
        <f aca="true" t="shared" si="26" ref="G59:P59">G62+G60</f>
        <v>70000</v>
      </c>
      <c r="H59" s="35">
        <f t="shared" si="26"/>
        <v>0</v>
      </c>
      <c r="I59" s="35">
        <f t="shared" si="26"/>
        <v>0</v>
      </c>
      <c r="J59" s="35">
        <f>J62+J60</f>
        <v>2896947</v>
      </c>
      <c r="K59" s="34">
        <f t="shared" si="3"/>
        <v>99000</v>
      </c>
      <c r="L59" s="35">
        <f t="shared" si="26"/>
        <v>99000</v>
      </c>
      <c r="M59" s="35">
        <f t="shared" si="26"/>
        <v>0</v>
      </c>
      <c r="N59" s="35">
        <f t="shared" si="26"/>
        <v>0</v>
      </c>
      <c r="O59" s="35">
        <f t="shared" si="26"/>
        <v>0</v>
      </c>
      <c r="P59" s="35">
        <f t="shared" si="26"/>
        <v>99000</v>
      </c>
      <c r="Q59" s="34">
        <f t="shared" si="4"/>
        <v>3065947</v>
      </c>
    </row>
    <row r="60" spans="2:17" s="13" customFormat="1" ht="31.5" customHeight="1">
      <c r="B60" s="17" t="s">
        <v>230</v>
      </c>
      <c r="C60" s="21" t="s">
        <v>231</v>
      </c>
      <c r="D60" s="21" t="s">
        <v>76</v>
      </c>
      <c r="E60" s="23" t="s">
        <v>232</v>
      </c>
      <c r="F60" s="34">
        <f t="shared" si="2"/>
        <v>100000</v>
      </c>
      <c r="G60" s="35"/>
      <c r="H60" s="35"/>
      <c r="I60" s="35"/>
      <c r="J60" s="35">
        <v>100000</v>
      </c>
      <c r="K60" s="34">
        <f t="shared" si="3"/>
        <v>0</v>
      </c>
      <c r="L60" s="35"/>
      <c r="M60" s="35"/>
      <c r="N60" s="35"/>
      <c r="O60" s="35"/>
      <c r="P60" s="35"/>
      <c r="Q60" s="34">
        <f t="shared" si="4"/>
        <v>100000</v>
      </c>
    </row>
    <row r="61" spans="2:17" s="13" customFormat="1" ht="34.5" customHeight="1">
      <c r="B61" s="17"/>
      <c r="C61" s="21"/>
      <c r="D61" s="21"/>
      <c r="E61" s="32" t="s">
        <v>291</v>
      </c>
      <c r="F61" s="34">
        <f t="shared" si="2"/>
        <v>100000</v>
      </c>
      <c r="G61" s="35"/>
      <c r="H61" s="35"/>
      <c r="I61" s="35"/>
      <c r="J61" s="35">
        <v>100000</v>
      </c>
      <c r="K61" s="34">
        <f t="shared" si="3"/>
        <v>0</v>
      </c>
      <c r="L61" s="35"/>
      <c r="M61" s="35"/>
      <c r="N61" s="35"/>
      <c r="O61" s="35"/>
      <c r="P61" s="35"/>
      <c r="Q61" s="34">
        <f t="shared" si="4"/>
        <v>100000</v>
      </c>
    </row>
    <row r="62" spans="2:17" s="13" customFormat="1" ht="30">
      <c r="B62" s="17" t="s">
        <v>125</v>
      </c>
      <c r="C62" s="21" t="s">
        <v>84</v>
      </c>
      <c r="D62" s="21" t="s">
        <v>76</v>
      </c>
      <c r="E62" s="23" t="s">
        <v>83</v>
      </c>
      <c r="F62" s="34">
        <f>G62+J62</f>
        <v>2866947</v>
      </c>
      <c r="G62" s="35">
        <v>70000</v>
      </c>
      <c r="H62" s="35"/>
      <c r="I62" s="35"/>
      <c r="J62" s="35">
        <f>J63+J64+J65+J66+J67</f>
        <v>2796947</v>
      </c>
      <c r="K62" s="34">
        <f t="shared" si="3"/>
        <v>99000</v>
      </c>
      <c r="L62" s="34">
        <v>99000</v>
      </c>
      <c r="M62" s="34">
        <f>M63</f>
        <v>0</v>
      </c>
      <c r="N62" s="34">
        <f>N63</f>
        <v>0</v>
      </c>
      <c r="O62" s="34">
        <f>O63</f>
        <v>0</v>
      </c>
      <c r="P62" s="34">
        <f>99000</f>
        <v>99000</v>
      </c>
      <c r="Q62" s="34">
        <f t="shared" si="4"/>
        <v>2965947</v>
      </c>
    </row>
    <row r="63" spans="2:17" s="13" customFormat="1" ht="32.25" customHeight="1">
      <c r="B63" s="17"/>
      <c r="C63" s="21"/>
      <c r="D63" s="21"/>
      <c r="E63" s="32" t="s">
        <v>292</v>
      </c>
      <c r="F63" s="34">
        <f t="shared" si="2"/>
        <v>203900</v>
      </c>
      <c r="G63" s="35"/>
      <c r="H63" s="35"/>
      <c r="I63" s="35"/>
      <c r="J63" s="35">
        <v>203900</v>
      </c>
      <c r="K63" s="34">
        <f t="shared" si="3"/>
        <v>0</v>
      </c>
      <c r="L63" s="35"/>
      <c r="M63" s="35"/>
      <c r="N63" s="35"/>
      <c r="O63" s="35"/>
      <c r="P63" s="35"/>
      <c r="Q63" s="34">
        <f t="shared" si="4"/>
        <v>203900</v>
      </c>
    </row>
    <row r="64" spans="2:17" s="13" customFormat="1" ht="36" customHeight="1">
      <c r="B64" s="17"/>
      <c r="C64" s="21"/>
      <c r="D64" s="21"/>
      <c r="E64" s="32" t="s">
        <v>293</v>
      </c>
      <c r="F64" s="34">
        <f t="shared" si="2"/>
        <v>402716</v>
      </c>
      <c r="G64" s="35"/>
      <c r="H64" s="35"/>
      <c r="I64" s="35"/>
      <c r="J64" s="35">
        <v>402716</v>
      </c>
      <c r="K64" s="34">
        <f t="shared" si="3"/>
        <v>66000</v>
      </c>
      <c r="L64" s="35">
        <v>66000</v>
      </c>
      <c r="M64" s="35"/>
      <c r="N64" s="35"/>
      <c r="O64" s="35"/>
      <c r="P64" s="35">
        <v>66000</v>
      </c>
      <c r="Q64" s="34">
        <f t="shared" si="4"/>
        <v>468716</v>
      </c>
    </row>
    <row r="65" spans="2:17" s="13" customFormat="1" ht="33.75" customHeight="1">
      <c r="B65" s="17"/>
      <c r="C65" s="21"/>
      <c r="D65" s="21"/>
      <c r="E65" s="32" t="s">
        <v>295</v>
      </c>
      <c r="F65" s="34">
        <f t="shared" si="2"/>
        <v>74835</v>
      </c>
      <c r="G65" s="35"/>
      <c r="H65" s="35"/>
      <c r="I65" s="35"/>
      <c r="J65" s="35">
        <v>74835</v>
      </c>
      <c r="K65" s="34">
        <f t="shared" si="3"/>
        <v>0</v>
      </c>
      <c r="L65" s="35"/>
      <c r="M65" s="35"/>
      <c r="N65" s="35"/>
      <c r="O65" s="35"/>
      <c r="P65" s="35"/>
      <c r="Q65" s="34">
        <f t="shared" si="4"/>
        <v>74835</v>
      </c>
    </row>
    <row r="66" spans="2:17" s="13" customFormat="1" ht="33" customHeight="1">
      <c r="B66" s="17"/>
      <c r="C66" s="21"/>
      <c r="D66" s="21"/>
      <c r="E66" s="32" t="s">
        <v>294</v>
      </c>
      <c r="F66" s="34">
        <f t="shared" si="2"/>
        <v>350624</v>
      </c>
      <c r="G66" s="35"/>
      <c r="H66" s="35"/>
      <c r="I66" s="35"/>
      <c r="J66" s="35">
        <v>350624</v>
      </c>
      <c r="K66" s="34">
        <f t="shared" si="3"/>
        <v>0</v>
      </c>
      <c r="L66" s="35"/>
      <c r="M66" s="35"/>
      <c r="N66" s="35"/>
      <c r="O66" s="35"/>
      <c r="P66" s="35"/>
      <c r="Q66" s="34">
        <f t="shared" si="4"/>
        <v>350624</v>
      </c>
    </row>
    <row r="67" spans="2:17" s="13" customFormat="1" ht="27" customHeight="1">
      <c r="B67" s="17"/>
      <c r="C67" s="21"/>
      <c r="D67" s="21"/>
      <c r="E67" s="32" t="s">
        <v>296</v>
      </c>
      <c r="F67" s="34">
        <f t="shared" si="2"/>
        <v>1764872</v>
      </c>
      <c r="G67" s="35"/>
      <c r="H67" s="35"/>
      <c r="I67" s="35"/>
      <c r="J67" s="35">
        <v>1764872</v>
      </c>
      <c r="K67" s="34">
        <f t="shared" si="3"/>
        <v>0</v>
      </c>
      <c r="L67" s="35"/>
      <c r="M67" s="35"/>
      <c r="N67" s="35"/>
      <c r="O67" s="35"/>
      <c r="P67" s="35"/>
      <c r="Q67" s="34">
        <f t="shared" si="4"/>
        <v>1764872</v>
      </c>
    </row>
    <row r="68" spans="2:17" s="13" customFormat="1" ht="24.75" customHeight="1">
      <c r="B68" s="17" t="s">
        <v>126</v>
      </c>
      <c r="C68" s="21" t="s">
        <v>86</v>
      </c>
      <c r="D68" s="21" t="s">
        <v>76</v>
      </c>
      <c r="E68" s="23" t="s">
        <v>85</v>
      </c>
      <c r="F68" s="34">
        <f t="shared" si="2"/>
        <v>11171600</v>
      </c>
      <c r="G68" s="35">
        <f>8600000+1389000+30000+802600+50000</f>
        <v>10871600</v>
      </c>
      <c r="H68" s="35">
        <f>3810600+182900+163935</f>
        <v>4157435</v>
      </c>
      <c r="I68" s="35">
        <f>550400+1389000+76500</f>
        <v>2015900</v>
      </c>
      <c r="J68" s="35">
        <v>300000</v>
      </c>
      <c r="K68" s="34">
        <f t="shared" si="3"/>
        <v>5350000</v>
      </c>
      <c r="L68" s="35">
        <v>5350000</v>
      </c>
      <c r="M68" s="35"/>
      <c r="N68" s="35"/>
      <c r="O68" s="35"/>
      <c r="P68" s="35">
        <v>5350000</v>
      </c>
      <c r="Q68" s="34">
        <f t="shared" si="4"/>
        <v>16521600</v>
      </c>
    </row>
    <row r="69" spans="2:17" s="13" customFormat="1" ht="24.75" customHeight="1" hidden="1">
      <c r="B69" s="17"/>
      <c r="C69" s="21"/>
      <c r="D69" s="21"/>
      <c r="E69" s="32" t="s">
        <v>182</v>
      </c>
      <c r="F69" s="34">
        <f t="shared" si="2"/>
        <v>0</v>
      </c>
      <c r="G69" s="35"/>
      <c r="H69" s="35"/>
      <c r="I69" s="35"/>
      <c r="J69" s="35">
        <f>400000-400000</f>
        <v>0</v>
      </c>
      <c r="K69" s="34"/>
      <c r="L69" s="35"/>
      <c r="M69" s="35"/>
      <c r="N69" s="35"/>
      <c r="O69" s="35"/>
      <c r="P69" s="35"/>
      <c r="Q69" s="34"/>
    </row>
    <row r="70" spans="2:17" s="13" customFormat="1" ht="45" customHeight="1">
      <c r="B70" s="17"/>
      <c r="C70" s="21"/>
      <c r="D70" s="21"/>
      <c r="E70" s="32" t="s">
        <v>144</v>
      </c>
      <c r="F70" s="34">
        <f t="shared" si="2"/>
        <v>30000</v>
      </c>
      <c r="G70" s="35">
        <f>30000</f>
        <v>30000</v>
      </c>
      <c r="H70" s="35"/>
      <c r="I70" s="35"/>
      <c r="J70" s="35"/>
      <c r="K70" s="34">
        <f t="shared" si="3"/>
        <v>0</v>
      </c>
      <c r="L70" s="35"/>
      <c r="M70" s="35"/>
      <c r="N70" s="35"/>
      <c r="O70" s="35"/>
      <c r="P70" s="35"/>
      <c r="Q70" s="34">
        <f t="shared" si="4"/>
        <v>30000</v>
      </c>
    </row>
    <row r="71" spans="2:17" s="13" customFormat="1" ht="33" customHeight="1">
      <c r="B71" s="17"/>
      <c r="C71" s="21"/>
      <c r="D71" s="21"/>
      <c r="E71" s="32" t="s">
        <v>296</v>
      </c>
      <c r="F71" s="34">
        <f t="shared" si="2"/>
        <v>300000</v>
      </c>
      <c r="G71" s="35"/>
      <c r="H71" s="35"/>
      <c r="I71" s="35"/>
      <c r="J71" s="35">
        <v>300000</v>
      </c>
      <c r="K71" s="34"/>
      <c r="L71" s="35"/>
      <c r="M71" s="35"/>
      <c r="N71" s="35"/>
      <c r="O71" s="35"/>
      <c r="P71" s="35"/>
      <c r="Q71" s="34">
        <f t="shared" si="4"/>
        <v>300000</v>
      </c>
    </row>
    <row r="72" spans="1:17" s="13" customFormat="1" ht="15.75">
      <c r="A72" s="13">
        <v>180410</v>
      </c>
      <c r="B72" s="17" t="s">
        <v>127</v>
      </c>
      <c r="C72" s="21" t="s">
        <v>87</v>
      </c>
      <c r="D72" s="21" t="s">
        <v>89</v>
      </c>
      <c r="E72" s="23" t="s">
        <v>88</v>
      </c>
      <c r="F72" s="34">
        <f t="shared" si="2"/>
        <v>50000</v>
      </c>
      <c r="G72" s="35">
        <v>50000</v>
      </c>
      <c r="H72" s="35"/>
      <c r="I72" s="35"/>
      <c r="J72" s="35"/>
      <c r="K72" s="34">
        <f t="shared" si="3"/>
        <v>0</v>
      </c>
      <c r="L72" s="35"/>
      <c r="M72" s="35"/>
      <c r="N72" s="35"/>
      <c r="O72" s="35"/>
      <c r="P72" s="35"/>
      <c r="Q72" s="34">
        <f t="shared" si="4"/>
        <v>50000</v>
      </c>
    </row>
    <row r="73" spans="2:17" s="13" customFormat="1" ht="48" customHeight="1" hidden="1">
      <c r="B73" s="39" t="s">
        <v>236</v>
      </c>
      <c r="C73" s="11">
        <v>7367</v>
      </c>
      <c r="D73" s="21" t="s">
        <v>19</v>
      </c>
      <c r="E73" s="23" t="s">
        <v>235</v>
      </c>
      <c r="F73" s="34">
        <f>F74+F75+F76</f>
        <v>0</v>
      </c>
      <c r="G73" s="34">
        <f aca="true" t="shared" si="27" ref="G73:P73">G74+G75+G76</f>
        <v>0</v>
      </c>
      <c r="H73" s="34">
        <f t="shared" si="27"/>
        <v>0</v>
      </c>
      <c r="I73" s="34">
        <f t="shared" si="27"/>
        <v>0</v>
      </c>
      <c r="J73" s="34">
        <f t="shared" si="27"/>
        <v>0</v>
      </c>
      <c r="K73" s="34">
        <f t="shared" si="27"/>
        <v>0</v>
      </c>
      <c r="L73" s="34">
        <f t="shared" si="27"/>
        <v>0</v>
      </c>
      <c r="M73" s="34">
        <f t="shared" si="27"/>
        <v>0</v>
      </c>
      <c r="N73" s="34">
        <f t="shared" si="27"/>
        <v>0</v>
      </c>
      <c r="O73" s="34">
        <f t="shared" si="27"/>
        <v>0</v>
      </c>
      <c r="P73" s="34">
        <f t="shared" si="27"/>
        <v>0</v>
      </c>
      <c r="Q73" s="34">
        <f t="shared" si="4"/>
        <v>0</v>
      </c>
    </row>
    <row r="74" spans="2:17" s="13" customFormat="1" ht="57" customHeight="1" hidden="1">
      <c r="B74" s="39"/>
      <c r="C74" s="11"/>
      <c r="D74" s="21"/>
      <c r="E74" s="32" t="s">
        <v>257</v>
      </c>
      <c r="F74" s="34"/>
      <c r="G74" s="35"/>
      <c r="H74" s="35"/>
      <c r="I74" s="35"/>
      <c r="J74" s="35"/>
      <c r="K74" s="34">
        <f t="shared" si="3"/>
        <v>0</v>
      </c>
      <c r="L74" s="35">
        <f>1000000-1000000</f>
        <v>0</v>
      </c>
      <c r="M74" s="35"/>
      <c r="N74" s="35"/>
      <c r="O74" s="35"/>
      <c r="P74" s="35">
        <f>1000000-1000000</f>
        <v>0</v>
      </c>
      <c r="Q74" s="34">
        <f t="shared" si="4"/>
        <v>0</v>
      </c>
    </row>
    <row r="75" spans="2:17" s="13" customFormat="1" ht="57" customHeight="1" hidden="1">
      <c r="B75" s="39"/>
      <c r="C75" s="11"/>
      <c r="D75" s="21"/>
      <c r="E75" s="32" t="s">
        <v>257</v>
      </c>
      <c r="F75" s="34"/>
      <c r="G75" s="35"/>
      <c r="H75" s="35"/>
      <c r="I75" s="35"/>
      <c r="J75" s="35"/>
      <c r="K75" s="34">
        <f t="shared" si="3"/>
        <v>0</v>
      </c>
      <c r="L75" s="35"/>
      <c r="M75" s="35"/>
      <c r="N75" s="35"/>
      <c r="O75" s="35"/>
      <c r="P75" s="35">
        <f>127686-127686</f>
        <v>0</v>
      </c>
      <c r="Q75" s="34">
        <f t="shared" si="4"/>
        <v>0</v>
      </c>
    </row>
    <row r="76" spans="2:17" s="13" customFormat="1" ht="54" customHeight="1" hidden="1">
      <c r="B76" s="39"/>
      <c r="C76" s="11"/>
      <c r="D76" s="21"/>
      <c r="E76" s="32" t="s">
        <v>257</v>
      </c>
      <c r="F76" s="34"/>
      <c r="G76" s="35"/>
      <c r="H76" s="35"/>
      <c r="I76" s="35"/>
      <c r="J76" s="35"/>
      <c r="K76" s="34">
        <f t="shared" si="3"/>
        <v>0</v>
      </c>
      <c r="L76" s="35">
        <f>1715471-1715471</f>
        <v>0</v>
      </c>
      <c r="M76" s="35"/>
      <c r="N76" s="35"/>
      <c r="O76" s="35"/>
      <c r="P76" s="35">
        <f>1715471-1715471</f>
        <v>0</v>
      </c>
      <c r="Q76" s="34">
        <f t="shared" si="4"/>
        <v>0</v>
      </c>
    </row>
    <row r="77" spans="2:17" s="13" customFormat="1" ht="41.25" customHeight="1">
      <c r="B77" s="39" t="s">
        <v>258</v>
      </c>
      <c r="C77" s="11">
        <v>7370</v>
      </c>
      <c r="D77" s="21" t="s">
        <v>19</v>
      </c>
      <c r="E77" s="23" t="s">
        <v>259</v>
      </c>
      <c r="F77" s="34">
        <f t="shared" si="2"/>
        <v>25000</v>
      </c>
      <c r="G77" s="35">
        <v>25000</v>
      </c>
      <c r="H77" s="35"/>
      <c r="I77" s="35"/>
      <c r="J77" s="35"/>
      <c r="K77" s="34"/>
      <c r="L77" s="35"/>
      <c r="M77" s="35"/>
      <c r="N77" s="35"/>
      <c r="O77" s="35"/>
      <c r="P77" s="35"/>
      <c r="Q77" s="34">
        <f t="shared" si="4"/>
        <v>25000</v>
      </c>
    </row>
    <row r="78" spans="2:17" s="13" customFormat="1" ht="55.5" customHeight="1">
      <c r="B78" s="39"/>
      <c r="C78" s="11"/>
      <c r="D78" s="21"/>
      <c r="E78" s="32" t="s">
        <v>260</v>
      </c>
      <c r="F78" s="34">
        <f t="shared" si="2"/>
        <v>25000</v>
      </c>
      <c r="G78" s="35">
        <v>25000</v>
      </c>
      <c r="H78" s="35"/>
      <c r="I78" s="35"/>
      <c r="J78" s="35"/>
      <c r="K78" s="34"/>
      <c r="L78" s="35"/>
      <c r="M78" s="35"/>
      <c r="N78" s="35"/>
      <c r="O78" s="35"/>
      <c r="P78" s="35"/>
      <c r="Q78" s="34">
        <f t="shared" si="4"/>
        <v>25000</v>
      </c>
    </row>
    <row r="79" spans="2:17" s="13" customFormat="1" ht="30" customHeight="1">
      <c r="B79" s="17" t="s">
        <v>219</v>
      </c>
      <c r="C79" s="21" t="s">
        <v>220</v>
      </c>
      <c r="D79" s="21"/>
      <c r="E79" s="23" t="s">
        <v>221</v>
      </c>
      <c r="F79" s="34">
        <f>F80+F81</f>
        <v>3736150</v>
      </c>
      <c r="G79" s="34">
        <f aca="true" t="shared" si="28" ref="G79:P79">G80+G81</f>
        <v>3736150</v>
      </c>
      <c r="H79" s="34">
        <f t="shared" si="28"/>
        <v>0</v>
      </c>
      <c r="I79" s="34">
        <f t="shared" si="28"/>
        <v>0</v>
      </c>
      <c r="J79" s="34">
        <f t="shared" si="28"/>
        <v>0</v>
      </c>
      <c r="K79" s="34">
        <f t="shared" si="28"/>
        <v>210000</v>
      </c>
      <c r="L79" s="34">
        <f t="shared" si="28"/>
        <v>60000</v>
      </c>
      <c r="M79" s="34">
        <f t="shared" si="28"/>
        <v>0</v>
      </c>
      <c r="N79" s="34">
        <f t="shared" si="28"/>
        <v>0</v>
      </c>
      <c r="O79" s="34">
        <f t="shared" si="28"/>
        <v>0</v>
      </c>
      <c r="P79" s="34">
        <f t="shared" si="28"/>
        <v>210000</v>
      </c>
      <c r="Q79" s="34">
        <f t="shared" si="4"/>
        <v>3946150</v>
      </c>
    </row>
    <row r="80" spans="2:17" s="13" customFormat="1" ht="48" customHeight="1">
      <c r="B80" s="17" t="s">
        <v>128</v>
      </c>
      <c r="C80" s="21" t="s">
        <v>90</v>
      </c>
      <c r="D80" s="21" t="s">
        <v>37</v>
      </c>
      <c r="E80" s="23" t="s">
        <v>91</v>
      </c>
      <c r="F80" s="34">
        <f t="shared" si="2"/>
        <v>3736150</v>
      </c>
      <c r="G80" s="35">
        <f>3282900-550500-130000-50000-156250+1340000</f>
        <v>3736150</v>
      </c>
      <c r="H80" s="35"/>
      <c r="I80" s="35"/>
      <c r="J80" s="35"/>
      <c r="K80" s="34">
        <f t="shared" si="3"/>
        <v>60000</v>
      </c>
      <c r="L80" s="35">
        <v>60000</v>
      </c>
      <c r="M80" s="35"/>
      <c r="N80" s="35"/>
      <c r="O80" s="35"/>
      <c r="P80" s="35">
        <f>60000</f>
        <v>60000</v>
      </c>
      <c r="Q80" s="34">
        <f t="shared" si="4"/>
        <v>3796150</v>
      </c>
    </row>
    <row r="81" spans="2:17" s="13" customFormat="1" ht="52.5" customHeight="1">
      <c r="B81" s="17" t="s">
        <v>271</v>
      </c>
      <c r="C81" s="21" t="s">
        <v>272</v>
      </c>
      <c r="D81" s="21" t="s">
        <v>37</v>
      </c>
      <c r="E81" s="23" t="s">
        <v>273</v>
      </c>
      <c r="F81" s="34">
        <f t="shared" si="2"/>
        <v>0</v>
      </c>
      <c r="G81" s="35"/>
      <c r="H81" s="35"/>
      <c r="I81" s="35"/>
      <c r="J81" s="35"/>
      <c r="K81" s="34">
        <f t="shared" si="3"/>
        <v>150000</v>
      </c>
      <c r="L81" s="35"/>
      <c r="M81" s="35"/>
      <c r="N81" s="35"/>
      <c r="O81" s="35"/>
      <c r="P81" s="35">
        <v>150000</v>
      </c>
      <c r="Q81" s="34">
        <f t="shared" si="4"/>
        <v>150000</v>
      </c>
    </row>
    <row r="82" spans="2:17" s="13" customFormat="1" ht="30.75" customHeight="1">
      <c r="B82" s="17" t="s">
        <v>129</v>
      </c>
      <c r="C82" s="21" t="s">
        <v>56</v>
      </c>
      <c r="D82" s="21" t="s">
        <v>19</v>
      </c>
      <c r="E82" s="23" t="s">
        <v>92</v>
      </c>
      <c r="F82" s="34">
        <f t="shared" si="2"/>
        <v>37300</v>
      </c>
      <c r="G82" s="35">
        <v>37300</v>
      </c>
      <c r="H82" s="35"/>
      <c r="I82" s="35"/>
      <c r="J82" s="35"/>
      <c r="K82" s="34">
        <f t="shared" si="3"/>
        <v>0</v>
      </c>
      <c r="L82" s="35"/>
      <c r="M82" s="35"/>
      <c r="N82" s="35"/>
      <c r="O82" s="35"/>
      <c r="P82" s="35"/>
      <c r="Q82" s="34">
        <f t="shared" si="4"/>
        <v>37300</v>
      </c>
    </row>
    <row r="83" spans="2:17" s="13" customFormat="1" ht="30.75" customHeight="1">
      <c r="B83" s="17" t="s">
        <v>222</v>
      </c>
      <c r="C83" s="21" t="s">
        <v>223</v>
      </c>
      <c r="D83" s="21"/>
      <c r="E83" s="23" t="s">
        <v>224</v>
      </c>
      <c r="F83" s="34">
        <f>F84</f>
        <v>8643555</v>
      </c>
      <c r="G83" s="35">
        <f aca="true" t="shared" si="29" ref="G83:P83">G84</f>
        <v>0</v>
      </c>
      <c r="H83" s="35">
        <f t="shared" si="29"/>
        <v>0</v>
      </c>
      <c r="I83" s="35">
        <f t="shared" si="29"/>
        <v>0</v>
      </c>
      <c r="J83" s="35">
        <f t="shared" si="29"/>
        <v>8643555</v>
      </c>
      <c r="K83" s="34">
        <f t="shared" si="29"/>
        <v>0</v>
      </c>
      <c r="L83" s="35">
        <f t="shared" si="29"/>
        <v>0</v>
      </c>
      <c r="M83" s="35">
        <f t="shared" si="29"/>
        <v>0</v>
      </c>
      <c r="N83" s="35">
        <f t="shared" si="29"/>
        <v>0</v>
      </c>
      <c r="O83" s="35">
        <f t="shared" si="29"/>
        <v>0</v>
      </c>
      <c r="P83" s="35">
        <f t="shared" si="29"/>
        <v>0</v>
      </c>
      <c r="Q83" s="34">
        <f t="shared" si="4"/>
        <v>8643555</v>
      </c>
    </row>
    <row r="84" spans="2:17" s="13" customFormat="1" ht="36.75" customHeight="1">
      <c r="B84" s="17" t="s">
        <v>130</v>
      </c>
      <c r="C84" s="21" t="s">
        <v>43</v>
      </c>
      <c r="D84" s="21" t="s">
        <v>19</v>
      </c>
      <c r="E84" s="23" t="s">
        <v>44</v>
      </c>
      <c r="F84" s="34">
        <f t="shared" si="2"/>
        <v>8643555</v>
      </c>
      <c r="G84" s="35">
        <f>G85</f>
        <v>0</v>
      </c>
      <c r="H84" s="35">
        <f aca="true" t="shared" si="30" ref="H84:P84">H85</f>
        <v>0</v>
      </c>
      <c r="I84" s="35">
        <f t="shared" si="30"/>
        <v>0</v>
      </c>
      <c r="J84" s="35">
        <f t="shared" si="30"/>
        <v>8643555</v>
      </c>
      <c r="K84" s="34">
        <f t="shared" si="3"/>
        <v>0</v>
      </c>
      <c r="L84" s="35">
        <f t="shared" si="30"/>
        <v>0</v>
      </c>
      <c r="M84" s="35">
        <f t="shared" si="30"/>
        <v>0</v>
      </c>
      <c r="N84" s="35">
        <f t="shared" si="30"/>
        <v>0</v>
      </c>
      <c r="O84" s="35">
        <f t="shared" si="30"/>
        <v>0</v>
      </c>
      <c r="P84" s="35">
        <f t="shared" si="30"/>
        <v>0</v>
      </c>
      <c r="Q84" s="34">
        <f t="shared" si="4"/>
        <v>8643555</v>
      </c>
    </row>
    <row r="85" spans="2:17" s="13" customFormat="1" ht="48.75" customHeight="1">
      <c r="B85" s="17"/>
      <c r="C85" s="21"/>
      <c r="D85" s="21"/>
      <c r="E85" s="38" t="s">
        <v>172</v>
      </c>
      <c r="F85" s="34">
        <f t="shared" si="2"/>
        <v>8643555</v>
      </c>
      <c r="G85" s="35"/>
      <c r="H85" s="35"/>
      <c r="I85" s="35"/>
      <c r="J85" s="35">
        <f>6708000+780000+1155555</f>
        <v>8643555</v>
      </c>
      <c r="K85" s="34">
        <f t="shared" si="3"/>
        <v>0</v>
      </c>
      <c r="L85" s="35"/>
      <c r="M85" s="35"/>
      <c r="N85" s="35"/>
      <c r="O85" s="35"/>
      <c r="P85" s="35"/>
      <c r="Q85" s="34">
        <f t="shared" si="4"/>
        <v>8643555</v>
      </c>
    </row>
    <row r="86" spans="2:17" s="13" customFormat="1" ht="30">
      <c r="B86" s="17" t="s">
        <v>131</v>
      </c>
      <c r="C86" s="21" t="s">
        <v>45</v>
      </c>
      <c r="D86" s="21" t="s">
        <v>3</v>
      </c>
      <c r="E86" s="23" t="s">
        <v>69</v>
      </c>
      <c r="F86" s="34">
        <f t="shared" si="2"/>
        <v>1126700</v>
      </c>
      <c r="G86" s="35">
        <f>G87</f>
        <v>1126700</v>
      </c>
      <c r="H86" s="35">
        <f aca="true" t="shared" si="31" ref="H86:P86">H87</f>
        <v>0</v>
      </c>
      <c r="I86" s="35">
        <f t="shared" si="31"/>
        <v>0</v>
      </c>
      <c r="J86" s="35">
        <f t="shared" si="31"/>
        <v>0</v>
      </c>
      <c r="K86" s="34">
        <f t="shared" si="31"/>
        <v>0</v>
      </c>
      <c r="L86" s="35">
        <f t="shared" si="31"/>
        <v>0</v>
      </c>
      <c r="M86" s="35">
        <f t="shared" si="31"/>
        <v>0</v>
      </c>
      <c r="N86" s="35">
        <f t="shared" si="31"/>
        <v>0</v>
      </c>
      <c r="O86" s="35">
        <f t="shared" si="31"/>
        <v>0</v>
      </c>
      <c r="P86" s="35">
        <f t="shared" si="31"/>
        <v>0</v>
      </c>
      <c r="Q86" s="34">
        <f t="shared" si="4"/>
        <v>1126700</v>
      </c>
    </row>
    <row r="87" spans="2:17" s="13" customFormat="1" ht="75">
      <c r="B87" s="17"/>
      <c r="C87" s="21"/>
      <c r="D87" s="21"/>
      <c r="E87" s="38" t="s">
        <v>171</v>
      </c>
      <c r="F87" s="34">
        <f t="shared" si="2"/>
        <v>1126700</v>
      </c>
      <c r="G87" s="35">
        <v>1126700</v>
      </c>
      <c r="H87" s="35"/>
      <c r="I87" s="35"/>
      <c r="J87" s="35"/>
      <c r="K87" s="34">
        <f t="shared" si="3"/>
        <v>0</v>
      </c>
      <c r="L87" s="35"/>
      <c r="M87" s="35"/>
      <c r="N87" s="35"/>
      <c r="O87" s="35"/>
      <c r="P87" s="35"/>
      <c r="Q87" s="34">
        <f t="shared" si="4"/>
        <v>1126700</v>
      </c>
    </row>
    <row r="88" spans="2:17" s="13" customFormat="1" ht="15.75">
      <c r="B88" s="17" t="s">
        <v>132</v>
      </c>
      <c r="C88" s="21" t="s">
        <v>94</v>
      </c>
      <c r="D88" s="21" t="s">
        <v>3</v>
      </c>
      <c r="E88" s="23" t="s">
        <v>93</v>
      </c>
      <c r="F88" s="34">
        <f t="shared" si="2"/>
        <v>1688900</v>
      </c>
      <c r="G88" s="35">
        <f>1660000+28900</f>
        <v>1688900</v>
      </c>
      <c r="H88" s="35">
        <f>1184600+28900</f>
        <v>1213500</v>
      </c>
      <c r="I88" s="35">
        <v>105200</v>
      </c>
      <c r="J88" s="35"/>
      <c r="K88" s="34">
        <f t="shared" si="3"/>
        <v>0</v>
      </c>
      <c r="L88" s="35"/>
      <c r="M88" s="35"/>
      <c r="N88" s="35"/>
      <c r="O88" s="35"/>
      <c r="P88" s="35"/>
      <c r="Q88" s="34">
        <f t="shared" si="4"/>
        <v>1688900</v>
      </c>
    </row>
    <row r="89" spans="2:17" s="13" customFormat="1" ht="15.75">
      <c r="B89" s="17" t="s">
        <v>261</v>
      </c>
      <c r="C89" s="21" t="s">
        <v>262</v>
      </c>
      <c r="D89" s="21" t="s">
        <v>264</v>
      </c>
      <c r="E89" s="23" t="s">
        <v>263</v>
      </c>
      <c r="F89" s="34"/>
      <c r="G89" s="35"/>
      <c r="H89" s="35"/>
      <c r="I89" s="35"/>
      <c r="J89" s="35"/>
      <c r="K89" s="34">
        <f t="shared" si="3"/>
        <v>298000</v>
      </c>
      <c r="L89" s="35"/>
      <c r="M89" s="35"/>
      <c r="N89" s="35"/>
      <c r="O89" s="35"/>
      <c r="P89" s="35">
        <v>298000</v>
      </c>
      <c r="Q89" s="34">
        <f t="shared" si="4"/>
        <v>298000</v>
      </c>
    </row>
    <row r="90" spans="2:17" s="13" customFormat="1" ht="15.75">
      <c r="B90" s="17"/>
      <c r="C90" s="21"/>
      <c r="D90" s="21"/>
      <c r="E90" s="38" t="s">
        <v>181</v>
      </c>
      <c r="F90" s="34"/>
      <c r="G90" s="35"/>
      <c r="H90" s="35"/>
      <c r="I90" s="35"/>
      <c r="J90" s="35"/>
      <c r="K90" s="34">
        <f t="shared" si="3"/>
        <v>298000</v>
      </c>
      <c r="L90" s="35"/>
      <c r="M90" s="35"/>
      <c r="N90" s="35"/>
      <c r="O90" s="35"/>
      <c r="P90" s="35">
        <v>298000</v>
      </c>
      <c r="Q90" s="34">
        <f t="shared" si="4"/>
        <v>298000</v>
      </c>
    </row>
    <row r="91" spans="2:17" s="13" customFormat="1" ht="15.75">
      <c r="B91" s="17" t="s">
        <v>177</v>
      </c>
      <c r="C91" s="21" t="s">
        <v>178</v>
      </c>
      <c r="D91" s="21" t="s">
        <v>179</v>
      </c>
      <c r="E91" s="23" t="s">
        <v>180</v>
      </c>
      <c r="F91" s="34">
        <f>F92</f>
        <v>0</v>
      </c>
      <c r="G91" s="35">
        <f aca="true" t="shared" si="32" ref="G91:P91">G92</f>
        <v>0</v>
      </c>
      <c r="H91" s="35">
        <f t="shared" si="32"/>
        <v>0</v>
      </c>
      <c r="I91" s="35">
        <f t="shared" si="32"/>
        <v>0</v>
      </c>
      <c r="J91" s="35">
        <f t="shared" si="32"/>
        <v>0</v>
      </c>
      <c r="K91" s="34">
        <f t="shared" si="32"/>
        <v>584254</v>
      </c>
      <c r="L91" s="35">
        <f t="shared" si="32"/>
        <v>0</v>
      </c>
      <c r="M91" s="35">
        <f t="shared" si="32"/>
        <v>474604</v>
      </c>
      <c r="N91" s="35">
        <f t="shared" si="32"/>
        <v>0</v>
      </c>
      <c r="O91" s="35">
        <f t="shared" si="32"/>
        <v>0</v>
      </c>
      <c r="P91" s="35">
        <f t="shared" si="32"/>
        <v>109650</v>
      </c>
      <c r="Q91" s="34">
        <f t="shared" si="4"/>
        <v>584254</v>
      </c>
    </row>
    <row r="92" spans="2:17" s="13" customFormat="1" ht="15.75">
      <c r="B92" s="17"/>
      <c r="C92" s="21"/>
      <c r="D92" s="21"/>
      <c r="E92" s="38" t="s">
        <v>181</v>
      </c>
      <c r="F92" s="34">
        <f>G92+J92</f>
        <v>0</v>
      </c>
      <c r="G92" s="35"/>
      <c r="H92" s="35"/>
      <c r="I92" s="35"/>
      <c r="J92" s="35"/>
      <c r="K92" s="34">
        <f>M92+P92</f>
        <v>584254</v>
      </c>
      <c r="L92" s="35"/>
      <c r="M92" s="35">
        <f>172800+301804</f>
        <v>474604</v>
      </c>
      <c r="N92" s="35"/>
      <c r="O92" s="35"/>
      <c r="P92" s="35">
        <v>109650</v>
      </c>
      <c r="Q92" s="34">
        <f t="shared" si="4"/>
        <v>584254</v>
      </c>
    </row>
    <row r="93" spans="1:17" s="13" customFormat="1" ht="18.75" customHeight="1">
      <c r="A93" s="13">
        <v>120100</v>
      </c>
      <c r="B93" s="17" t="s">
        <v>133</v>
      </c>
      <c r="C93" s="21" t="s">
        <v>41</v>
      </c>
      <c r="D93" s="21" t="s">
        <v>26</v>
      </c>
      <c r="E93" s="23" t="s">
        <v>42</v>
      </c>
      <c r="F93" s="34">
        <f t="shared" si="2"/>
        <v>611200</v>
      </c>
      <c r="G93" s="35">
        <f>G94</f>
        <v>611200</v>
      </c>
      <c r="H93" s="35">
        <f aca="true" t="shared" si="33" ref="H93:P93">H94</f>
        <v>0</v>
      </c>
      <c r="I93" s="35">
        <f t="shared" si="33"/>
        <v>0</v>
      </c>
      <c r="J93" s="35">
        <f t="shared" si="33"/>
        <v>0</v>
      </c>
      <c r="K93" s="34">
        <f t="shared" si="33"/>
        <v>0</v>
      </c>
      <c r="L93" s="35">
        <f t="shared" si="33"/>
        <v>0</v>
      </c>
      <c r="M93" s="35">
        <f t="shared" si="33"/>
        <v>0</v>
      </c>
      <c r="N93" s="35">
        <f t="shared" si="33"/>
        <v>0</v>
      </c>
      <c r="O93" s="35">
        <f t="shared" si="33"/>
        <v>0</v>
      </c>
      <c r="P93" s="35">
        <f t="shared" si="33"/>
        <v>0</v>
      </c>
      <c r="Q93" s="34">
        <f t="shared" si="4"/>
        <v>611200</v>
      </c>
    </row>
    <row r="94" spans="2:17" s="13" customFormat="1" ht="39" customHeight="1">
      <c r="B94" s="17"/>
      <c r="C94" s="21"/>
      <c r="D94" s="21"/>
      <c r="E94" s="38" t="s">
        <v>173</v>
      </c>
      <c r="F94" s="34">
        <f t="shared" si="2"/>
        <v>611200</v>
      </c>
      <c r="G94" s="35">
        <f>375000+236200</f>
        <v>611200</v>
      </c>
      <c r="H94" s="35"/>
      <c r="I94" s="35"/>
      <c r="J94" s="35"/>
      <c r="K94" s="34">
        <f t="shared" si="3"/>
        <v>0</v>
      </c>
      <c r="L94" s="35"/>
      <c r="M94" s="35"/>
      <c r="N94" s="35"/>
      <c r="O94" s="35"/>
      <c r="P94" s="35"/>
      <c r="Q94" s="34">
        <f t="shared" si="4"/>
        <v>611200</v>
      </c>
    </row>
    <row r="95" spans="6:17" s="13" customFormat="1" ht="21" customHeight="1" hidden="1">
      <c r="F95" s="34">
        <f>F96</f>
        <v>0</v>
      </c>
      <c r="G95" s="35"/>
      <c r="H95" s="35"/>
      <c r="I95" s="35"/>
      <c r="J95" s="35"/>
      <c r="K95" s="34">
        <f t="shared" si="3"/>
        <v>0</v>
      </c>
      <c r="L95" s="35"/>
      <c r="M95" s="35"/>
      <c r="N95" s="35"/>
      <c r="O95" s="35"/>
      <c r="P95" s="35"/>
      <c r="Q95" s="34">
        <f t="shared" si="4"/>
        <v>0</v>
      </c>
    </row>
    <row r="96" spans="6:17" s="13" customFormat="1" ht="36" customHeight="1" hidden="1">
      <c r="F96" s="34"/>
      <c r="G96" s="35"/>
      <c r="H96" s="35"/>
      <c r="I96" s="35"/>
      <c r="J96" s="35"/>
      <c r="K96" s="34"/>
      <c r="L96" s="35"/>
      <c r="M96" s="35"/>
      <c r="N96" s="35"/>
      <c r="O96" s="35"/>
      <c r="P96" s="35"/>
      <c r="Q96" s="34">
        <f t="shared" si="4"/>
        <v>0</v>
      </c>
    </row>
    <row r="97" spans="2:17" s="13" customFormat="1" ht="26.25" customHeight="1">
      <c r="B97" s="33" t="s">
        <v>46</v>
      </c>
      <c r="C97" s="36"/>
      <c r="D97" s="36"/>
      <c r="E97" s="43" t="s">
        <v>95</v>
      </c>
      <c r="F97" s="34">
        <f>F98</f>
        <v>159098500</v>
      </c>
      <c r="G97" s="34">
        <f aca="true" t="shared" si="34" ref="G97:P97">G98</f>
        <v>159098500</v>
      </c>
      <c r="H97" s="34">
        <f t="shared" si="34"/>
        <v>111494733</v>
      </c>
      <c r="I97" s="34">
        <f t="shared" si="34"/>
        <v>17187700</v>
      </c>
      <c r="J97" s="34">
        <f t="shared" si="34"/>
        <v>0</v>
      </c>
      <c r="K97" s="34">
        <f t="shared" si="3"/>
        <v>9860010</v>
      </c>
      <c r="L97" s="34">
        <f t="shared" si="34"/>
        <v>8379570</v>
      </c>
      <c r="M97" s="34">
        <f t="shared" si="34"/>
        <v>1480440</v>
      </c>
      <c r="N97" s="34">
        <f t="shared" si="34"/>
        <v>524900</v>
      </c>
      <c r="O97" s="34">
        <f t="shared" si="34"/>
        <v>33300</v>
      </c>
      <c r="P97" s="34">
        <f t="shared" si="34"/>
        <v>8379570</v>
      </c>
      <c r="Q97" s="34">
        <f t="shared" si="4"/>
        <v>168958510</v>
      </c>
    </row>
    <row r="98" spans="2:17" s="13" customFormat="1" ht="15.75">
      <c r="B98" s="17" t="s">
        <v>47</v>
      </c>
      <c r="C98" s="36"/>
      <c r="D98" s="36"/>
      <c r="E98" s="43" t="s">
        <v>96</v>
      </c>
      <c r="F98" s="34">
        <f>F101+F102+F104+F106+F107+F108+F112+F114+F115+F117+F116</f>
        <v>159098500</v>
      </c>
      <c r="G98" s="34">
        <f aca="true" t="shared" si="35" ref="G98:P98">G101+G102+G104+G106+G107+G108+G112+G114+G115+G117+G116</f>
        <v>159098500</v>
      </c>
      <c r="H98" s="34">
        <f t="shared" si="35"/>
        <v>111494733</v>
      </c>
      <c r="I98" s="34">
        <f t="shared" si="35"/>
        <v>17187700</v>
      </c>
      <c r="J98" s="34">
        <f t="shared" si="35"/>
        <v>0</v>
      </c>
      <c r="K98" s="34">
        <f t="shared" si="35"/>
        <v>9860010</v>
      </c>
      <c r="L98" s="34">
        <f t="shared" si="35"/>
        <v>8379570</v>
      </c>
      <c r="M98" s="34">
        <f t="shared" si="35"/>
        <v>1480440</v>
      </c>
      <c r="N98" s="34">
        <f t="shared" si="35"/>
        <v>524900</v>
      </c>
      <c r="O98" s="34">
        <f t="shared" si="35"/>
        <v>33300</v>
      </c>
      <c r="P98" s="34">
        <f t="shared" si="35"/>
        <v>8379570</v>
      </c>
      <c r="Q98" s="34">
        <f t="shared" si="4"/>
        <v>168958510</v>
      </c>
    </row>
    <row r="99" spans="2:17" s="13" customFormat="1" ht="30" hidden="1">
      <c r="B99" s="36"/>
      <c r="C99" s="36"/>
      <c r="D99" s="36"/>
      <c r="E99" s="51" t="s">
        <v>72</v>
      </c>
      <c r="F99" s="34">
        <f t="shared" si="2"/>
        <v>0</v>
      </c>
      <c r="G99" s="34"/>
      <c r="H99" s="34"/>
      <c r="I99" s="34"/>
      <c r="J99" s="34"/>
      <c r="K99" s="34">
        <f t="shared" si="3"/>
        <v>0</v>
      </c>
      <c r="L99" s="34"/>
      <c r="M99" s="34"/>
      <c r="N99" s="34"/>
      <c r="O99" s="34"/>
      <c r="P99" s="34"/>
      <c r="Q99" s="34">
        <f t="shared" si="4"/>
        <v>0</v>
      </c>
    </row>
    <row r="100" spans="2:17" s="13" customFormat="1" ht="45" hidden="1">
      <c r="B100" s="36"/>
      <c r="C100" s="36"/>
      <c r="D100" s="36"/>
      <c r="E100" s="52" t="s">
        <v>70</v>
      </c>
      <c r="F100" s="34">
        <f t="shared" si="2"/>
        <v>0</v>
      </c>
      <c r="G100" s="34"/>
      <c r="H100" s="34"/>
      <c r="I100" s="34"/>
      <c r="J100" s="34"/>
      <c r="K100" s="34">
        <f t="shared" si="3"/>
        <v>0</v>
      </c>
      <c r="L100" s="34"/>
      <c r="M100" s="34"/>
      <c r="N100" s="34"/>
      <c r="O100" s="34"/>
      <c r="P100" s="34"/>
      <c r="Q100" s="34">
        <f t="shared" si="4"/>
        <v>0</v>
      </c>
    </row>
    <row r="101" spans="2:17" s="13" customFormat="1" ht="45">
      <c r="B101" s="36" t="s">
        <v>134</v>
      </c>
      <c r="C101" s="18" t="s">
        <v>77</v>
      </c>
      <c r="D101" s="18" t="s">
        <v>22</v>
      </c>
      <c r="E101" s="23" t="s">
        <v>103</v>
      </c>
      <c r="F101" s="34">
        <f t="shared" si="2"/>
        <v>760170</v>
      </c>
      <c r="G101" s="35">
        <v>760170</v>
      </c>
      <c r="H101" s="35">
        <v>598500</v>
      </c>
      <c r="I101" s="35"/>
      <c r="J101" s="35"/>
      <c r="K101" s="34">
        <f t="shared" si="3"/>
        <v>0</v>
      </c>
      <c r="L101" s="35"/>
      <c r="M101" s="35"/>
      <c r="N101" s="35"/>
      <c r="O101" s="35"/>
      <c r="P101" s="35"/>
      <c r="Q101" s="34">
        <f t="shared" si="4"/>
        <v>760170</v>
      </c>
    </row>
    <row r="102" spans="2:17" s="13" customFormat="1" ht="30">
      <c r="B102" s="36" t="s">
        <v>183</v>
      </c>
      <c r="C102" s="18" t="s">
        <v>30</v>
      </c>
      <c r="D102" s="18"/>
      <c r="E102" s="23" t="s">
        <v>184</v>
      </c>
      <c r="F102" s="34">
        <f>F103</f>
        <v>47829700</v>
      </c>
      <c r="G102" s="35">
        <f aca="true" t="shared" si="36" ref="G102:P102">G103</f>
        <v>47829700</v>
      </c>
      <c r="H102" s="35">
        <f t="shared" si="36"/>
        <v>22287600</v>
      </c>
      <c r="I102" s="35">
        <f t="shared" si="36"/>
        <v>15959610</v>
      </c>
      <c r="J102" s="35">
        <f t="shared" si="36"/>
        <v>0</v>
      </c>
      <c r="K102" s="34">
        <f t="shared" si="36"/>
        <v>247740</v>
      </c>
      <c r="L102" s="35">
        <f t="shared" si="36"/>
        <v>0</v>
      </c>
      <c r="M102" s="35">
        <f t="shared" si="36"/>
        <v>247740</v>
      </c>
      <c r="N102" s="35">
        <f t="shared" si="36"/>
        <v>0</v>
      </c>
      <c r="O102" s="35">
        <f t="shared" si="36"/>
        <v>0</v>
      </c>
      <c r="P102" s="35">
        <f t="shared" si="36"/>
        <v>0</v>
      </c>
      <c r="Q102" s="34">
        <f t="shared" si="4"/>
        <v>48077440</v>
      </c>
    </row>
    <row r="103" spans="1:17" s="13" customFormat="1" ht="35.25" customHeight="1">
      <c r="A103" s="13">
        <v>70201</v>
      </c>
      <c r="B103" s="33" t="s">
        <v>155</v>
      </c>
      <c r="C103" s="18" t="s">
        <v>154</v>
      </c>
      <c r="D103" s="18" t="s">
        <v>31</v>
      </c>
      <c r="E103" s="19" t="s">
        <v>156</v>
      </c>
      <c r="F103" s="34">
        <f t="shared" si="2"/>
        <v>47829700</v>
      </c>
      <c r="G103" s="35">
        <f>48481870+893000+139040-1684210</f>
        <v>47829700</v>
      </c>
      <c r="H103" s="25">
        <f>23668100-1380500</f>
        <v>22287600</v>
      </c>
      <c r="I103" s="25">
        <v>15959610</v>
      </c>
      <c r="J103" s="25"/>
      <c r="K103" s="34">
        <f t="shared" si="3"/>
        <v>247740</v>
      </c>
      <c r="L103" s="35"/>
      <c r="M103" s="25">
        <v>247740</v>
      </c>
      <c r="N103" s="25"/>
      <c r="O103" s="25"/>
      <c r="P103" s="25"/>
      <c r="Q103" s="34">
        <f t="shared" si="4"/>
        <v>48077440</v>
      </c>
    </row>
    <row r="104" spans="2:17" s="13" customFormat="1" ht="35.25" customHeight="1">
      <c r="B104" s="33" t="s">
        <v>185</v>
      </c>
      <c r="C104" s="18" t="s">
        <v>186</v>
      </c>
      <c r="D104" s="18"/>
      <c r="E104" s="23" t="s">
        <v>187</v>
      </c>
      <c r="F104" s="34">
        <f>F105</f>
        <v>94667600</v>
      </c>
      <c r="G104" s="35">
        <f aca="true" t="shared" si="37" ref="G104:P104">G105</f>
        <v>94667600</v>
      </c>
      <c r="H104" s="35">
        <f t="shared" si="37"/>
        <v>77596400</v>
      </c>
      <c r="I104" s="35">
        <f t="shared" si="37"/>
        <v>0</v>
      </c>
      <c r="J104" s="35">
        <f t="shared" si="37"/>
        <v>0</v>
      </c>
      <c r="K104" s="34">
        <f t="shared" si="37"/>
        <v>0</v>
      </c>
      <c r="L104" s="35">
        <f t="shared" si="37"/>
        <v>0</v>
      </c>
      <c r="M104" s="35">
        <f t="shared" si="37"/>
        <v>0</v>
      </c>
      <c r="N104" s="35">
        <f t="shared" si="37"/>
        <v>0</v>
      </c>
      <c r="O104" s="35">
        <f t="shared" si="37"/>
        <v>0</v>
      </c>
      <c r="P104" s="35">
        <f t="shared" si="37"/>
        <v>0</v>
      </c>
      <c r="Q104" s="34">
        <f t="shared" si="4"/>
        <v>94667600</v>
      </c>
    </row>
    <row r="105" spans="2:17" s="13" customFormat="1" ht="30">
      <c r="B105" s="36" t="s">
        <v>157</v>
      </c>
      <c r="C105" s="18" t="s">
        <v>158</v>
      </c>
      <c r="D105" s="18" t="s">
        <v>31</v>
      </c>
      <c r="E105" s="19" t="s">
        <v>156</v>
      </c>
      <c r="F105" s="34">
        <f t="shared" si="2"/>
        <v>94667600</v>
      </c>
      <c r="G105" s="25">
        <v>94667600</v>
      </c>
      <c r="H105" s="25">
        <v>77596400</v>
      </c>
      <c r="I105" s="25"/>
      <c r="J105" s="25"/>
      <c r="K105" s="34">
        <f t="shared" si="3"/>
        <v>0</v>
      </c>
      <c r="L105" s="35"/>
      <c r="M105" s="25"/>
      <c r="N105" s="25"/>
      <c r="O105" s="25"/>
      <c r="P105" s="25"/>
      <c r="Q105" s="34">
        <f t="shared" si="4"/>
        <v>94667600</v>
      </c>
    </row>
    <row r="106" spans="1:17" s="13" customFormat="1" ht="30">
      <c r="A106" s="13">
        <v>70401</v>
      </c>
      <c r="B106" s="33" t="s">
        <v>159</v>
      </c>
      <c r="C106" s="18" t="s">
        <v>16</v>
      </c>
      <c r="D106" s="18" t="s">
        <v>15</v>
      </c>
      <c r="E106" s="19" t="s">
        <v>74</v>
      </c>
      <c r="F106" s="34">
        <f t="shared" si="2"/>
        <v>2656430</v>
      </c>
      <c r="G106" s="25">
        <f>2652270+4160</f>
        <v>2656430</v>
      </c>
      <c r="H106" s="25">
        <v>1953900</v>
      </c>
      <c r="I106" s="25">
        <v>227850</v>
      </c>
      <c r="J106" s="25"/>
      <c r="K106" s="34">
        <f t="shared" si="3"/>
        <v>1232700</v>
      </c>
      <c r="L106" s="35"/>
      <c r="M106" s="25">
        <v>1232700</v>
      </c>
      <c r="N106" s="25">
        <v>524900</v>
      </c>
      <c r="O106" s="25">
        <v>33300</v>
      </c>
      <c r="P106" s="25"/>
      <c r="Q106" s="34">
        <f t="shared" si="4"/>
        <v>3889130</v>
      </c>
    </row>
    <row r="107" spans="1:17" s="13" customFormat="1" ht="30">
      <c r="A107" s="13">
        <v>70702</v>
      </c>
      <c r="B107" s="33" t="s">
        <v>160</v>
      </c>
      <c r="C107" s="18" t="s">
        <v>161</v>
      </c>
      <c r="D107" s="18" t="s">
        <v>17</v>
      </c>
      <c r="E107" s="19" t="s">
        <v>53</v>
      </c>
      <c r="F107" s="34">
        <f t="shared" si="2"/>
        <v>137600</v>
      </c>
      <c r="G107" s="25">
        <v>137600</v>
      </c>
      <c r="H107" s="25"/>
      <c r="I107" s="25"/>
      <c r="J107" s="25"/>
      <c r="K107" s="34">
        <f t="shared" si="3"/>
        <v>0</v>
      </c>
      <c r="L107" s="35"/>
      <c r="M107" s="25"/>
      <c r="N107" s="25"/>
      <c r="O107" s="25"/>
      <c r="P107" s="25"/>
      <c r="Q107" s="34">
        <f t="shared" si="4"/>
        <v>137600</v>
      </c>
    </row>
    <row r="108" spans="2:17" s="13" customFormat="1" ht="15.75">
      <c r="B108" s="33" t="s">
        <v>188</v>
      </c>
      <c r="C108" s="18" t="s">
        <v>189</v>
      </c>
      <c r="D108" s="18"/>
      <c r="E108" s="19" t="s">
        <v>190</v>
      </c>
      <c r="F108" s="34">
        <f>F109+F110</f>
        <v>8515774</v>
      </c>
      <c r="G108" s="35">
        <f aca="true" t="shared" si="38" ref="G108:P108">G109+G110</f>
        <v>8515774</v>
      </c>
      <c r="H108" s="35">
        <f t="shared" si="38"/>
        <v>5726900</v>
      </c>
      <c r="I108" s="35">
        <f t="shared" si="38"/>
        <v>836880</v>
      </c>
      <c r="J108" s="35">
        <f t="shared" si="38"/>
        <v>0</v>
      </c>
      <c r="K108" s="34">
        <f t="shared" si="38"/>
        <v>0</v>
      </c>
      <c r="L108" s="35">
        <f t="shared" si="38"/>
        <v>0</v>
      </c>
      <c r="M108" s="35">
        <f t="shared" si="38"/>
        <v>0</v>
      </c>
      <c r="N108" s="35">
        <f t="shared" si="38"/>
        <v>0</v>
      </c>
      <c r="O108" s="35">
        <f t="shared" si="38"/>
        <v>0</v>
      </c>
      <c r="P108" s="35">
        <f t="shared" si="38"/>
        <v>0</v>
      </c>
      <c r="Q108" s="34">
        <f t="shared" si="4"/>
        <v>8515774</v>
      </c>
    </row>
    <row r="109" spans="1:17" s="13" customFormat="1" ht="24.75" customHeight="1">
      <c r="A109" s="37"/>
      <c r="B109" s="33" t="s">
        <v>162</v>
      </c>
      <c r="C109" s="18" t="s">
        <v>163</v>
      </c>
      <c r="D109" s="18" t="s">
        <v>18</v>
      </c>
      <c r="E109" s="19" t="s">
        <v>54</v>
      </c>
      <c r="F109" s="34">
        <f t="shared" si="2"/>
        <v>8420964</v>
      </c>
      <c r="G109" s="25">
        <f>8406930+15600-1566</f>
        <v>8420964</v>
      </c>
      <c r="H109" s="25">
        <v>5726900</v>
      </c>
      <c r="I109" s="25">
        <v>836880</v>
      </c>
      <c r="J109" s="25"/>
      <c r="K109" s="34">
        <f t="shared" si="3"/>
        <v>0</v>
      </c>
      <c r="L109" s="35"/>
      <c r="M109" s="25"/>
      <c r="N109" s="25"/>
      <c r="O109" s="25"/>
      <c r="P109" s="25"/>
      <c r="Q109" s="34">
        <f t="shared" si="4"/>
        <v>8420964</v>
      </c>
    </row>
    <row r="110" spans="1:17" s="13" customFormat="1" ht="24.75" customHeight="1">
      <c r="A110" s="37">
        <v>70808</v>
      </c>
      <c r="B110" s="33" t="s">
        <v>164</v>
      </c>
      <c r="C110" s="18" t="s">
        <v>165</v>
      </c>
      <c r="D110" s="18" t="s">
        <v>18</v>
      </c>
      <c r="E110" s="19" t="s">
        <v>55</v>
      </c>
      <c r="F110" s="34">
        <f t="shared" si="2"/>
        <v>94810</v>
      </c>
      <c r="G110" s="25">
        <v>94810</v>
      </c>
      <c r="H110" s="25"/>
      <c r="I110" s="25"/>
      <c r="J110" s="25"/>
      <c r="K110" s="34">
        <f t="shared" si="3"/>
        <v>0</v>
      </c>
      <c r="L110" s="25"/>
      <c r="M110" s="25"/>
      <c r="N110" s="25"/>
      <c r="O110" s="25"/>
      <c r="P110" s="25"/>
      <c r="Q110" s="34">
        <f t="shared" si="4"/>
        <v>94810</v>
      </c>
    </row>
    <row r="111" spans="2:17" s="13" customFormat="1" ht="15.75">
      <c r="B111" s="33"/>
      <c r="C111" s="18"/>
      <c r="D111" s="18"/>
      <c r="E111" s="44" t="s">
        <v>139</v>
      </c>
      <c r="F111" s="34">
        <f t="shared" si="2"/>
        <v>67660</v>
      </c>
      <c r="G111" s="25">
        <v>67660</v>
      </c>
      <c r="H111" s="25"/>
      <c r="I111" s="25"/>
      <c r="J111" s="25"/>
      <c r="K111" s="34">
        <f t="shared" si="3"/>
        <v>0</v>
      </c>
      <c r="L111" s="35"/>
      <c r="M111" s="25"/>
      <c r="N111" s="25"/>
      <c r="O111" s="25"/>
      <c r="P111" s="25"/>
      <c r="Q111" s="34">
        <f t="shared" si="4"/>
        <v>67660</v>
      </c>
    </row>
    <row r="112" spans="2:17" s="13" customFormat="1" ht="15.75">
      <c r="B112" s="33" t="s">
        <v>191</v>
      </c>
      <c r="C112" s="18" t="s">
        <v>192</v>
      </c>
      <c r="D112" s="18"/>
      <c r="E112" s="19" t="s">
        <v>193</v>
      </c>
      <c r="F112" s="34">
        <f>F113</f>
        <v>1072544</v>
      </c>
      <c r="G112" s="35">
        <f aca="true" t="shared" si="39" ref="G112:P112">G113</f>
        <v>1072544</v>
      </c>
      <c r="H112" s="35">
        <f t="shared" si="39"/>
        <v>879134</v>
      </c>
      <c r="I112" s="35">
        <f t="shared" si="39"/>
        <v>0</v>
      </c>
      <c r="J112" s="35">
        <f t="shared" si="39"/>
        <v>0</v>
      </c>
      <c r="K112" s="34">
        <f t="shared" si="39"/>
        <v>0</v>
      </c>
      <c r="L112" s="35">
        <f t="shared" si="39"/>
        <v>0</v>
      </c>
      <c r="M112" s="35">
        <f t="shared" si="39"/>
        <v>0</v>
      </c>
      <c r="N112" s="35">
        <f t="shared" si="39"/>
        <v>0</v>
      </c>
      <c r="O112" s="35">
        <f t="shared" si="39"/>
        <v>0</v>
      </c>
      <c r="P112" s="35">
        <f t="shared" si="39"/>
        <v>0</v>
      </c>
      <c r="Q112" s="34">
        <f t="shared" si="4"/>
        <v>1072544</v>
      </c>
    </row>
    <row r="113" spans="1:17" s="13" customFormat="1" ht="30">
      <c r="A113" s="13">
        <v>70808</v>
      </c>
      <c r="B113" s="36" t="s">
        <v>167</v>
      </c>
      <c r="C113" s="18" t="s">
        <v>166</v>
      </c>
      <c r="D113" s="18" t="s">
        <v>18</v>
      </c>
      <c r="E113" s="19" t="s">
        <v>168</v>
      </c>
      <c r="F113" s="34">
        <f t="shared" si="2"/>
        <v>1072544</v>
      </c>
      <c r="G113" s="25">
        <v>1072544</v>
      </c>
      <c r="H113" s="25">
        <v>879134</v>
      </c>
      <c r="I113" s="25"/>
      <c r="J113" s="25"/>
      <c r="K113" s="34">
        <f t="shared" si="3"/>
        <v>0</v>
      </c>
      <c r="L113" s="35"/>
      <c r="M113" s="25"/>
      <c r="N113" s="25"/>
      <c r="O113" s="25"/>
      <c r="P113" s="25"/>
      <c r="Q113" s="34">
        <f t="shared" si="4"/>
        <v>1072544</v>
      </c>
    </row>
    <row r="114" spans="2:17" s="13" customFormat="1" ht="30">
      <c r="B114" s="36" t="s">
        <v>227</v>
      </c>
      <c r="C114" s="18" t="s">
        <v>228</v>
      </c>
      <c r="D114" s="18" t="s">
        <v>18</v>
      </c>
      <c r="E114" s="19" t="s">
        <v>229</v>
      </c>
      <c r="F114" s="34">
        <f t="shared" si="2"/>
        <v>2550720</v>
      </c>
      <c r="G114" s="25">
        <v>2550720</v>
      </c>
      <c r="H114" s="25">
        <v>1923500</v>
      </c>
      <c r="I114" s="25">
        <v>163360</v>
      </c>
      <c r="J114" s="25"/>
      <c r="K114" s="34">
        <f t="shared" si="3"/>
        <v>0</v>
      </c>
      <c r="L114" s="35"/>
      <c r="M114" s="25"/>
      <c r="N114" s="25"/>
      <c r="O114" s="25"/>
      <c r="P114" s="25"/>
      <c r="Q114" s="34">
        <f t="shared" si="4"/>
        <v>2550720</v>
      </c>
    </row>
    <row r="115" spans="2:17" s="13" customFormat="1" ht="45">
      <c r="B115" s="17" t="s">
        <v>267</v>
      </c>
      <c r="C115" s="21" t="s">
        <v>170</v>
      </c>
      <c r="D115" s="21" t="s">
        <v>18</v>
      </c>
      <c r="E115" s="23" t="s">
        <v>176</v>
      </c>
      <c r="F115" s="34">
        <f t="shared" si="2"/>
        <v>775087</v>
      </c>
      <c r="G115" s="25">
        <f>512260+262827</f>
        <v>775087</v>
      </c>
      <c r="H115" s="25">
        <f>419884</f>
        <v>419884</v>
      </c>
      <c r="I115" s="25"/>
      <c r="J115" s="25"/>
      <c r="K115" s="34">
        <f t="shared" si="3"/>
        <v>0</v>
      </c>
      <c r="L115" s="35"/>
      <c r="M115" s="25"/>
      <c r="N115" s="25"/>
      <c r="O115" s="25"/>
      <c r="P115" s="25"/>
      <c r="Q115" s="34">
        <f t="shared" si="4"/>
        <v>775087</v>
      </c>
    </row>
    <row r="116" spans="2:17" s="13" customFormat="1" ht="60">
      <c r="B116" s="17" t="s">
        <v>268</v>
      </c>
      <c r="C116" s="21" t="s">
        <v>265</v>
      </c>
      <c r="D116" s="21" t="s">
        <v>18</v>
      </c>
      <c r="E116" s="23" t="s">
        <v>266</v>
      </c>
      <c r="F116" s="34">
        <f t="shared" si="2"/>
        <v>132875</v>
      </c>
      <c r="G116" s="25">
        <v>132875</v>
      </c>
      <c r="H116" s="25">
        <v>108915</v>
      </c>
      <c r="I116" s="25"/>
      <c r="J116" s="25"/>
      <c r="K116" s="34"/>
      <c r="L116" s="35"/>
      <c r="M116" s="25"/>
      <c r="N116" s="25"/>
      <c r="O116" s="25"/>
      <c r="P116" s="25"/>
      <c r="Q116" s="34">
        <f t="shared" si="4"/>
        <v>132875</v>
      </c>
    </row>
    <row r="117" spans="2:17" s="13" customFormat="1" ht="30">
      <c r="B117" s="17" t="s">
        <v>269</v>
      </c>
      <c r="C117" s="21" t="s">
        <v>256</v>
      </c>
      <c r="D117" s="21"/>
      <c r="E117" s="23" t="s">
        <v>252</v>
      </c>
      <c r="F117" s="34">
        <f t="shared" si="2"/>
        <v>0</v>
      </c>
      <c r="G117" s="25">
        <f>G118</f>
        <v>0</v>
      </c>
      <c r="H117" s="25">
        <f aca="true" t="shared" si="40" ref="H117:P118">H118</f>
        <v>0</v>
      </c>
      <c r="I117" s="25">
        <f t="shared" si="40"/>
        <v>0</v>
      </c>
      <c r="J117" s="25">
        <f t="shared" si="40"/>
        <v>0</v>
      </c>
      <c r="K117" s="25">
        <f t="shared" si="40"/>
        <v>8379570</v>
      </c>
      <c r="L117" s="25">
        <f t="shared" si="40"/>
        <v>8379570</v>
      </c>
      <c r="M117" s="25">
        <f t="shared" si="40"/>
        <v>0</v>
      </c>
      <c r="N117" s="25">
        <f t="shared" si="40"/>
        <v>0</v>
      </c>
      <c r="O117" s="25">
        <f t="shared" si="40"/>
        <v>0</v>
      </c>
      <c r="P117" s="25">
        <f t="shared" si="40"/>
        <v>8379570</v>
      </c>
      <c r="Q117" s="34">
        <f t="shared" si="4"/>
        <v>8379570</v>
      </c>
    </row>
    <row r="118" spans="2:17" s="13" customFormat="1" ht="15.75">
      <c r="B118" s="17" t="s">
        <v>270</v>
      </c>
      <c r="C118" s="21" t="s">
        <v>255</v>
      </c>
      <c r="D118" s="21" t="s">
        <v>254</v>
      </c>
      <c r="E118" s="23" t="s">
        <v>253</v>
      </c>
      <c r="F118" s="34">
        <f t="shared" si="2"/>
        <v>0</v>
      </c>
      <c r="G118" s="25">
        <f>G119</f>
        <v>0</v>
      </c>
      <c r="H118" s="25">
        <f t="shared" si="40"/>
        <v>0</v>
      </c>
      <c r="I118" s="25">
        <f t="shared" si="40"/>
        <v>0</v>
      </c>
      <c r="J118" s="25">
        <f t="shared" si="40"/>
        <v>0</v>
      </c>
      <c r="K118" s="25">
        <f t="shared" si="40"/>
        <v>8379570</v>
      </c>
      <c r="L118" s="25">
        <f t="shared" si="40"/>
        <v>8379570</v>
      </c>
      <c r="M118" s="25">
        <f t="shared" si="40"/>
        <v>0</v>
      </c>
      <c r="N118" s="25">
        <f t="shared" si="40"/>
        <v>0</v>
      </c>
      <c r="O118" s="25">
        <f t="shared" si="40"/>
        <v>0</v>
      </c>
      <c r="P118" s="25">
        <f t="shared" si="40"/>
        <v>8379570</v>
      </c>
      <c r="Q118" s="34">
        <f t="shared" si="4"/>
        <v>8379570</v>
      </c>
    </row>
    <row r="119" spans="2:17" s="13" customFormat="1" ht="15.75">
      <c r="B119" s="17"/>
      <c r="C119" s="21"/>
      <c r="D119" s="21"/>
      <c r="E119" s="32" t="s">
        <v>182</v>
      </c>
      <c r="F119" s="34">
        <f t="shared" si="2"/>
        <v>0</v>
      </c>
      <c r="G119" s="25"/>
      <c r="H119" s="25"/>
      <c r="I119" s="25"/>
      <c r="J119" s="25"/>
      <c r="K119" s="34">
        <f>M119+P119</f>
        <v>8379570</v>
      </c>
      <c r="L119" s="35">
        <f>10000000+50000+1566-1863996+192000</f>
        <v>8379570</v>
      </c>
      <c r="M119" s="25"/>
      <c r="N119" s="25"/>
      <c r="O119" s="25"/>
      <c r="P119" s="25">
        <f>10000000+50000+1566-1863996+192000</f>
        <v>8379570</v>
      </c>
      <c r="Q119" s="34">
        <f t="shared" si="4"/>
        <v>8379570</v>
      </c>
    </row>
    <row r="120" spans="2:17" s="13" customFormat="1" ht="30">
      <c r="B120" s="33" t="s">
        <v>240</v>
      </c>
      <c r="C120" s="36"/>
      <c r="D120" s="36"/>
      <c r="E120" s="43" t="s">
        <v>244</v>
      </c>
      <c r="F120" s="34">
        <f>F121</f>
        <v>10885301</v>
      </c>
      <c r="G120" s="34">
        <f aca="true" t="shared" si="41" ref="G120:P120">G121</f>
        <v>10885301</v>
      </c>
      <c r="H120" s="34">
        <f t="shared" si="41"/>
        <v>7372906</v>
      </c>
      <c r="I120" s="34">
        <f t="shared" si="41"/>
        <v>35763</v>
      </c>
      <c r="J120" s="34">
        <f t="shared" si="41"/>
        <v>0</v>
      </c>
      <c r="K120" s="34">
        <f t="shared" si="3"/>
        <v>161488</v>
      </c>
      <c r="L120" s="34">
        <f t="shared" si="41"/>
        <v>21500</v>
      </c>
      <c r="M120" s="34">
        <f t="shared" si="41"/>
        <v>139988</v>
      </c>
      <c r="N120" s="34">
        <f t="shared" si="41"/>
        <v>91900</v>
      </c>
      <c r="O120" s="34">
        <f t="shared" si="41"/>
        <v>2800</v>
      </c>
      <c r="P120" s="34">
        <f t="shared" si="41"/>
        <v>21500</v>
      </c>
      <c r="Q120" s="34">
        <f t="shared" si="4"/>
        <v>11046789</v>
      </c>
    </row>
    <row r="121" spans="2:17" s="13" customFormat="1" ht="29.25">
      <c r="B121" s="33" t="s">
        <v>240</v>
      </c>
      <c r="C121" s="36"/>
      <c r="D121" s="36"/>
      <c r="E121" s="43" t="s">
        <v>245</v>
      </c>
      <c r="F121" s="34">
        <f>G121+J121</f>
        <v>10885301</v>
      </c>
      <c r="G121" s="34">
        <f>G122+G123+G126+G130+G132</f>
        <v>10885301</v>
      </c>
      <c r="H121" s="34">
        <f aca="true" t="shared" si="42" ref="H121:P121">H122+H123+H126+H130+H132</f>
        <v>7372906</v>
      </c>
      <c r="I121" s="34">
        <f t="shared" si="42"/>
        <v>35763</v>
      </c>
      <c r="J121" s="34">
        <f t="shared" si="42"/>
        <v>0</v>
      </c>
      <c r="K121" s="34">
        <f t="shared" si="42"/>
        <v>161488</v>
      </c>
      <c r="L121" s="34">
        <f t="shared" si="42"/>
        <v>21500</v>
      </c>
      <c r="M121" s="34">
        <f t="shared" si="42"/>
        <v>139988</v>
      </c>
      <c r="N121" s="34">
        <f t="shared" si="42"/>
        <v>91900</v>
      </c>
      <c r="O121" s="34">
        <f t="shared" si="42"/>
        <v>2800</v>
      </c>
      <c r="P121" s="34">
        <f t="shared" si="42"/>
        <v>21500</v>
      </c>
      <c r="Q121" s="34">
        <f t="shared" si="4"/>
        <v>11046789</v>
      </c>
    </row>
    <row r="122" spans="2:17" s="13" customFormat="1" ht="45">
      <c r="B122" s="17" t="s">
        <v>241</v>
      </c>
      <c r="C122" s="18" t="s">
        <v>77</v>
      </c>
      <c r="D122" s="18" t="s">
        <v>22</v>
      </c>
      <c r="E122" s="23" t="s">
        <v>103</v>
      </c>
      <c r="F122" s="34">
        <f t="shared" si="2"/>
        <v>2013410</v>
      </c>
      <c r="G122" s="25">
        <v>2013410</v>
      </c>
      <c r="H122" s="25">
        <v>1610310</v>
      </c>
      <c r="I122" s="25"/>
      <c r="J122" s="25"/>
      <c r="K122" s="34">
        <f t="shared" si="3"/>
        <v>21500</v>
      </c>
      <c r="L122" s="35">
        <v>21500</v>
      </c>
      <c r="M122" s="25"/>
      <c r="N122" s="25"/>
      <c r="O122" s="25"/>
      <c r="P122" s="25">
        <v>21500</v>
      </c>
      <c r="Q122" s="34">
        <f t="shared" si="4"/>
        <v>2034910</v>
      </c>
    </row>
    <row r="123" spans="2:17" s="13" customFormat="1" ht="60">
      <c r="B123" s="17" t="s">
        <v>243</v>
      </c>
      <c r="C123" s="29">
        <v>3030</v>
      </c>
      <c r="D123" s="30"/>
      <c r="E123" s="46" t="s">
        <v>201</v>
      </c>
      <c r="F123" s="34">
        <f>F124</f>
        <v>83700</v>
      </c>
      <c r="G123" s="34">
        <f aca="true" t="shared" si="43" ref="G123:P123">G124</f>
        <v>83700</v>
      </c>
      <c r="H123" s="34">
        <f t="shared" si="43"/>
        <v>0</v>
      </c>
      <c r="I123" s="34">
        <f t="shared" si="43"/>
        <v>0</v>
      </c>
      <c r="J123" s="34">
        <f t="shared" si="43"/>
        <v>0</v>
      </c>
      <c r="K123" s="34">
        <f t="shared" si="3"/>
        <v>0</v>
      </c>
      <c r="L123" s="34">
        <f t="shared" si="43"/>
        <v>0</v>
      </c>
      <c r="M123" s="34">
        <f t="shared" si="43"/>
        <v>0</v>
      </c>
      <c r="N123" s="34">
        <f t="shared" si="43"/>
        <v>0</v>
      </c>
      <c r="O123" s="34">
        <f t="shared" si="43"/>
        <v>0</v>
      </c>
      <c r="P123" s="34">
        <f t="shared" si="43"/>
        <v>0</v>
      </c>
      <c r="Q123" s="34">
        <f t="shared" si="4"/>
        <v>83700</v>
      </c>
    </row>
    <row r="124" spans="2:17" s="13" customFormat="1" ht="30">
      <c r="B124" s="17" t="s">
        <v>242</v>
      </c>
      <c r="C124" s="11">
        <v>3032</v>
      </c>
      <c r="D124" s="10" t="s">
        <v>16</v>
      </c>
      <c r="E124" s="46" t="s">
        <v>36</v>
      </c>
      <c r="F124" s="34">
        <f>F125</f>
        <v>83700</v>
      </c>
      <c r="G124" s="34">
        <f aca="true" t="shared" si="44" ref="G124:P124">G125</f>
        <v>83700</v>
      </c>
      <c r="H124" s="34">
        <f t="shared" si="44"/>
        <v>0</v>
      </c>
      <c r="I124" s="34">
        <f t="shared" si="44"/>
        <v>0</v>
      </c>
      <c r="J124" s="34">
        <f t="shared" si="44"/>
        <v>0</v>
      </c>
      <c r="K124" s="34">
        <f t="shared" si="3"/>
        <v>0</v>
      </c>
      <c r="L124" s="34">
        <f t="shared" si="44"/>
        <v>0</v>
      </c>
      <c r="M124" s="34">
        <f t="shared" si="44"/>
        <v>0</v>
      </c>
      <c r="N124" s="34">
        <f t="shared" si="44"/>
        <v>0</v>
      </c>
      <c r="O124" s="34">
        <f t="shared" si="44"/>
        <v>0</v>
      </c>
      <c r="P124" s="34">
        <f t="shared" si="44"/>
        <v>0</v>
      </c>
      <c r="Q124" s="34">
        <f t="shared" si="4"/>
        <v>83700</v>
      </c>
    </row>
    <row r="125" spans="2:17" s="13" customFormat="1" ht="25.5">
      <c r="B125" s="31"/>
      <c r="C125" s="11"/>
      <c r="D125" s="10"/>
      <c r="E125" s="32" t="s">
        <v>142</v>
      </c>
      <c r="F125" s="34">
        <f t="shared" si="2"/>
        <v>83700</v>
      </c>
      <c r="G125" s="25">
        <v>83700</v>
      </c>
      <c r="H125" s="25"/>
      <c r="I125" s="25"/>
      <c r="J125" s="25"/>
      <c r="K125" s="34">
        <f t="shared" si="3"/>
        <v>0</v>
      </c>
      <c r="L125" s="35"/>
      <c r="M125" s="25"/>
      <c r="N125" s="25"/>
      <c r="O125" s="25"/>
      <c r="P125" s="25"/>
      <c r="Q125" s="34">
        <f t="shared" si="4"/>
        <v>83700</v>
      </c>
    </row>
    <row r="126" spans="2:17" s="13" customFormat="1" ht="50.25" customHeight="1">
      <c r="B126" s="17" t="s">
        <v>249</v>
      </c>
      <c r="C126" s="29">
        <v>3100</v>
      </c>
      <c r="D126" s="10"/>
      <c r="E126" s="46" t="s">
        <v>203</v>
      </c>
      <c r="F126" s="34">
        <f>F127</f>
        <v>7362803</v>
      </c>
      <c r="G126" s="35">
        <f aca="true" t="shared" si="45" ref="G126:P126">G127</f>
        <v>7362803</v>
      </c>
      <c r="H126" s="35">
        <f t="shared" si="45"/>
        <v>5762596</v>
      </c>
      <c r="I126" s="35">
        <f t="shared" si="45"/>
        <v>35763</v>
      </c>
      <c r="J126" s="35">
        <f t="shared" si="45"/>
        <v>0</v>
      </c>
      <c r="K126" s="34">
        <f t="shared" si="45"/>
        <v>139988</v>
      </c>
      <c r="L126" s="35">
        <f t="shared" si="45"/>
        <v>0</v>
      </c>
      <c r="M126" s="35">
        <f t="shared" si="45"/>
        <v>139988</v>
      </c>
      <c r="N126" s="35">
        <f t="shared" si="45"/>
        <v>91900</v>
      </c>
      <c r="O126" s="35">
        <f t="shared" si="45"/>
        <v>2800</v>
      </c>
      <c r="P126" s="35">
        <f t="shared" si="45"/>
        <v>0</v>
      </c>
      <c r="Q126" s="34">
        <f>F126+K126</f>
        <v>7502791</v>
      </c>
    </row>
    <row r="127" spans="2:17" s="13" customFormat="1" ht="65.25" customHeight="1">
      <c r="B127" s="17" t="s">
        <v>250</v>
      </c>
      <c r="C127" s="29">
        <v>3104</v>
      </c>
      <c r="D127" s="30" t="s">
        <v>30</v>
      </c>
      <c r="E127" s="23" t="s">
        <v>1</v>
      </c>
      <c r="F127" s="34">
        <f>G127+J127</f>
        <v>7362803</v>
      </c>
      <c r="G127" s="35">
        <f>6965541+377034+28+17900+2300</f>
        <v>7362803</v>
      </c>
      <c r="H127" s="35">
        <f>310434+5461162-9000</f>
        <v>5762596</v>
      </c>
      <c r="I127" s="35">
        <f>35735+28</f>
        <v>35763</v>
      </c>
      <c r="J127" s="35"/>
      <c r="K127" s="34">
        <f>M127+P127</f>
        <v>139988</v>
      </c>
      <c r="L127" s="35"/>
      <c r="M127" s="35">
        <v>139988</v>
      </c>
      <c r="N127" s="35">
        <v>91900</v>
      </c>
      <c r="O127" s="35">
        <v>2800</v>
      </c>
      <c r="P127" s="35"/>
      <c r="Q127" s="34">
        <f>F127+K127</f>
        <v>7502791</v>
      </c>
    </row>
    <row r="128" spans="2:17" s="13" customFormat="1" ht="65.25" customHeight="1" hidden="1">
      <c r="B128" s="50" t="s">
        <v>136</v>
      </c>
      <c r="C128" s="29">
        <v>3112</v>
      </c>
      <c r="D128" s="30" t="s">
        <v>4</v>
      </c>
      <c r="E128" s="23" t="s">
        <v>135</v>
      </c>
      <c r="F128" s="34">
        <f>G128+J128</f>
        <v>0</v>
      </c>
      <c r="G128" s="35"/>
      <c r="H128" s="35"/>
      <c r="I128" s="35"/>
      <c r="J128" s="35"/>
      <c r="K128" s="34">
        <f>M128+P128</f>
        <v>0</v>
      </c>
      <c r="L128" s="35"/>
      <c r="M128" s="35"/>
      <c r="N128" s="35"/>
      <c r="O128" s="35"/>
      <c r="P128" s="35"/>
      <c r="Q128" s="34">
        <f>F128+K129</f>
        <v>0</v>
      </c>
    </row>
    <row r="129" spans="2:17" s="13" customFormat="1" ht="35.25" customHeight="1">
      <c r="B129" s="17"/>
      <c r="C129" s="29"/>
      <c r="D129" s="30"/>
      <c r="E129" s="32" t="s">
        <v>142</v>
      </c>
      <c r="F129" s="34">
        <f>G129+J129</f>
        <v>379334</v>
      </c>
      <c r="G129" s="35">
        <f>377034+2300</f>
        <v>379334</v>
      </c>
      <c r="H129" s="35">
        <f>310434-9000</f>
        <v>301434</v>
      </c>
      <c r="I129" s="35"/>
      <c r="J129" s="35"/>
      <c r="K129" s="34">
        <f>M129+P129</f>
        <v>0</v>
      </c>
      <c r="L129" s="35"/>
      <c r="M129" s="35"/>
      <c r="N129" s="35"/>
      <c r="O129" s="35"/>
      <c r="P129" s="35"/>
      <c r="Q129" s="34">
        <f>F129+K132</f>
        <v>379334</v>
      </c>
    </row>
    <row r="130" spans="2:17" s="13" customFormat="1" ht="55.5" customHeight="1">
      <c r="B130" s="17" t="s">
        <v>251</v>
      </c>
      <c r="C130" s="29">
        <v>3160</v>
      </c>
      <c r="D130" s="30" t="s">
        <v>0</v>
      </c>
      <c r="E130" s="42" t="s">
        <v>57</v>
      </c>
      <c r="F130" s="34">
        <f>G130</f>
        <v>75000</v>
      </c>
      <c r="G130" s="35">
        <f>G131</f>
        <v>75000</v>
      </c>
      <c r="H130" s="35">
        <f aca="true" t="shared" si="46" ref="H130:P130">H131</f>
        <v>0</v>
      </c>
      <c r="I130" s="35">
        <f t="shared" si="46"/>
        <v>0</v>
      </c>
      <c r="J130" s="35">
        <f t="shared" si="46"/>
        <v>0</v>
      </c>
      <c r="K130" s="35">
        <f t="shared" si="46"/>
        <v>0</v>
      </c>
      <c r="L130" s="35">
        <f t="shared" si="46"/>
        <v>0</v>
      </c>
      <c r="M130" s="35">
        <f t="shared" si="46"/>
        <v>0</v>
      </c>
      <c r="N130" s="35">
        <f t="shared" si="46"/>
        <v>0</v>
      </c>
      <c r="O130" s="35">
        <f t="shared" si="46"/>
        <v>0</v>
      </c>
      <c r="P130" s="35">
        <f t="shared" si="46"/>
        <v>0</v>
      </c>
      <c r="Q130" s="34">
        <f>F130+K133</f>
        <v>75000</v>
      </c>
    </row>
    <row r="131" spans="2:17" s="13" customFormat="1" ht="25.5" customHeight="1">
      <c r="B131" s="31"/>
      <c r="C131" s="29"/>
      <c r="D131" s="30"/>
      <c r="E131" s="32" t="s">
        <v>142</v>
      </c>
      <c r="F131" s="34">
        <f>G131+J131</f>
        <v>75000</v>
      </c>
      <c r="G131" s="35">
        <v>75000</v>
      </c>
      <c r="H131" s="35"/>
      <c r="I131" s="35"/>
      <c r="J131" s="35"/>
      <c r="K131" s="34">
        <f t="shared" si="3"/>
        <v>0</v>
      </c>
      <c r="L131" s="35"/>
      <c r="M131" s="35"/>
      <c r="N131" s="35"/>
      <c r="O131" s="35"/>
      <c r="P131" s="35"/>
      <c r="Q131" s="34">
        <f t="shared" si="4"/>
        <v>75000</v>
      </c>
    </row>
    <row r="132" spans="2:17" s="13" customFormat="1" ht="30.75" customHeight="1">
      <c r="B132" s="39" t="s">
        <v>246</v>
      </c>
      <c r="C132" s="11">
        <v>3240</v>
      </c>
      <c r="D132" s="21"/>
      <c r="E132" s="19" t="s">
        <v>207</v>
      </c>
      <c r="F132" s="34">
        <f>F133</f>
        <v>1350388</v>
      </c>
      <c r="G132" s="35">
        <f aca="true" t="shared" si="47" ref="G132:P133">G133</f>
        <v>1350388</v>
      </c>
      <c r="H132" s="35">
        <f t="shared" si="47"/>
        <v>0</v>
      </c>
      <c r="I132" s="35">
        <f t="shared" si="47"/>
        <v>0</v>
      </c>
      <c r="J132" s="35">
        <f t="shared" si="47"/>
        <v>0</v>
      </c>
      <c r="K132" s="34">
        <f t="shared" si="3"/>
        <v>0</v>
      </c>
      <c r="L132" s="35">
        <f t="shared" si="47"/>
        <v>0</v>
      </c>
      <c r="M132" s="35">
        <f t="shared" si="47"/>
        <v>0</v>
      </c>
      <c r="N132" s="35">
        <f t="shared" si="47"/>
        <v>0</v>
      </c>
      <c r="O132" s="35">
        <f t="shared" si="47"/>
        <v>0</v>
      </c>
      <c r="P132" s="35">
        <f t="shared" si="47"/>
        <v>0</v>
      </c>
      <c r="Q132" s="34">
        <f>F132+K132</f>
        <v>1350388</v>
      </c>
    </row>
    <row r="133" spans="2:17" s="13" customFormat="1" ht="28.5" customHeight="1">
      <c r="B133" s="17" t="s">
        <v>247</v>
      </c>
      <c r="C133" s="29">
        <v>3242</v>
      </c>
      <c r="D133" s="30" t="s">
        <v>5</v>
      </c>
      <c r="E133" s="46" t="s">
        <v>58</v>
      </c>
      <c r="F133" s="34">
        <f>G133+J133</f>
        <v>1350388</v>
      </c>
      <c r="G133" s="35">
        <f>G134</f>
        <v>1350388</v>
      </c>
      <c r="H133" s="35">
        <f t="shared" si="47"/>
        <v>0</v>
      </c>
      <c r="I133" s="35">
        <f t="shared" si="47"/>
        <v>0</v>
      </c>
      <c r="J133" s="35">
        <f t="shared" si="47"/>
        <v>0</v>
      </c>
      <c r="K133" s="34">
        <f t="shared" si="3"/>
        <v>0</v>
      </c>
      <c r="L133" s="35">
        <f t="shared" si="47"/>
        <v>0</v>
      </c>
      <c r="M133" s="35">
        <f t="shared" si="47"/>
        <v>0</v>
      </c>
      <c r="N133" s="35">
        <f t="shared" si="47"/>
        <v>0</v>
      </c>
      <c r="O133" s="35">
        <f t="shared" si="47"/>
        <v>0</v>
      </c>
      <c r="P133" s="35">
        <f t="shared" si="47"/>
        <v>0</v>
      </c>
      <c r="Q133" s="34">
        <f>F133+K133</f>
        <v>1350388</v>
      </c>
    </row>
    <row r="134" spans="2:17" s="13" customFormat="1" ht="35.25" customHeight="1">
      <c r="B134" s="31"/>
      <c r="C134" s="29"/>
      <c r="D134" s="30"/>
      <c r="E134" s="32" t="s">
        <v>142</v>
      </c>
      <c r="F134" s="34">
        <f>G134+J134</f>
        <v>1350388</v>
      </c>
      <c r="G134" s="35">
        <f>878560+471828</f>
        <v>1350388</v>
      </c>
      <c r="H134" s="35"/>
      <c r="I134" s="35"/>
      <c r="J134" s="35"/>
      <c r="K134" s="34">
        <f t="shared" si="3"/>
        <v>0</v>
      </c>
      <c r="L134" s="35"/>
      <c r="M134" s="35"/>
      <c r="N134" s="35"/>
      <c r="O134" s="35"/>
      <c r="P134" s="35"/>
      <c r="Q134" s="34">
        <f>F134+K134</f>
        <v>1350388</v>
      </c>
    </row>
    <row r="135" spans="2:17" s="13" customFormat="1" ht="15.75">
      <c r="B135" s="33" t="s">
        <v>99</v>
      </c>
      <c r="C135" s="36"/>
      <c r="D135" s="36"/>
      <c r="E135" s="43" t="s">
        <v>101</v>
      </c>
      <c r="F135" s="34">
        <f>F136</f>
        <v>17429719</v>
      </c>
      <c r="G135" s="34">
        <f aca="true" t="shared" si="48" ref="G135:P135">G136</f>
        <v>17429719</v>
      </c>
      <c r="H135" s="34">
        <f t="shared" si="48"/>
        <v>12146300</v>
      </c>
      <c r="I135" s="34">
        <f t="shared" si="48"/>
        <v>1615400</v>
      </c>
      <c r="J135" s="34">
        <f t="shared" si="48"/>
        <v>0</v>
      </c>
      <c r="K135" s="34">
        <f t="shared" si="3"/>
        <v>251000</v>
      </c>
      <c r="L135" s="34">
        <f t="shared" si="48"/>
        <v>0</v>
      </c>
      <c r="M135" s="34">
        <f t="shared" si="48"/>
        <v>251000</v>
      </c>
      <c r="N135" s="34">
        <f t="shared" si="48"/>
        <v>166000</v>
      </c>
      <c r="O135" s="34">
        <f t="shared" si="48"/>
        <v>6600</v>
      </c>
      <c r="P135" s="34">
        <f t="shared" si="48"/>
        <v>0</v>
      </c>
      <c r="Q135" s="34">
        <f t="shared" si="4"/>
        <v>17680719</v>
      </c>
    </row>
    <row r="136" spans="2:17" s="13" customFormat="1" ht="30">
      <c r="B136" s="17" t="s">
        <v>100</v>
      </c>
      <c r="C136" s="36"/>
      <c r="D136" s="36"/>
      <c r="E136" s="43" t="s">
        <v>102</v>
      </c>
      <c r="F136" s="34">
        <f>F137+F138+F139+F140+F141+F144+F143</f>
        <v>17429719</v>
      </c>
      <c r="G136" s="34">
        <f aca="true" t="shared" si="49" ref="G136:P136">G137+G138+G139+G140+G141+G144+G143</f>
        <v>17429719</v>
      </c>
      <c r="H136" s="34">
        <f t="shared" si="49"/>
        <v>12146300</v>
      </c>
      <c r="I136" s="34">
        <f t="shared" si="49"/>
        <v>1615400</v>
      </c>
      <c r="J136" s="34">
        <f t="shared" si="49"/>
        <v>0</v>
      </c>
      <c r="K136" s="34">
        <f t="shared" si="49"/>
        <v>251000</v>
      </c>
      <c r="L136" s="34">
        <f t="shared" si="49"/>
        <v>0</v>
      </c>
      <c r="M136" s="34">
        <f t="shared" si="49"/>
        <v>251000</v>
      </c>
      <c r="N136" s="34">
        <f t="shared" si="49"/>
        <v>166000</v>
      </c>
      <c r="O136" s="34">
        <f t="shared" si="49"/>
        <v>6600</v>
      </c>
      <c r="P136" s="34">
        <f t="shared" si="49"/>
        <v>0</v>
      </c>
      <c r="Q136" s="34">
        <f t="shared" si="4"/>
        <v>17680719</v>
      </c>
    </row>
    <row r="137" spans="2:17" s="13" customFormat="1" ht="45">
      <c r="B137" s="17" t="s">
        <v>149</v>
      </c>
      <c r="C137" s="18" t="s">
        <v>77</v>
      </c>
      <c r="D137" s="18" t="s">
        <v>22</v>
      </c>
      <c r="E137" s="23" t="s">
        <v>103</v>
      </c>
      <c r="F137" s="34">
        <f t="shared" si="2"/>
        <v>779279</v>
      </c>
      <c r="G137" s="25">
        <f>749430+29849</f>
        <v>779279</v>
      </c>
      <c r="H137" s="25">
        <v>589700</v>
      </c>
      <c r="I137" s="25"/>
      <c r="J137" s="25"/>
      <c r="K137" s="34">
        <f t="shared" si="3"/>
        <v>0</v>
      </c>
      <c r="L137" s="35"/>
      <c r="M137" s="25"/>
      <c r="N137" s="25"/>
      <c r="O137" s="25"/>
      <c r="P137" s="25"/>
      <c r="Q137" s="34">
        <f t="shared" si="4"/>
        <v>779279</v>
      </c>
    </row>
    <row r="138" spans="2:17" s="13" customFormat="1" ht="15.75">
      <c r="B138" s="33" t="s">
        <v>150</v>
      </c>
      <c r="C138" s="29">
        <v>1080</v>
      </c>
      <c r="D138" s="30" t="s">
        <v>15</v>
      </c>
      <c r="E138" s="47" t="s">
        <v>75</v>
      </c>
      <c r="F138" s="34">
        <f t="shared" si="2"/>
        <v>3733300</v>
      </c>
      <c r="G138" s="25">
        <f>3618600+114700</f>
        <v>3733300</v>
      </c>
      <c r="H138" s="25">
        <f>2875800+94000</f>
        <v>2969800</v>
      </c>
      <c r="I138" s="25">
        <v>66900</v>
      </c>
      <c r="J138" s="25"/>
      <c r="K138" s="34">
        <f aca="true" t="shared" si="50" ref="K138:K149">M138+P138</f>
        <v>131000</v>
      </c>
      <c r="L138" s="35"/>
      <c r="M138" s="25">
        <v>131000</v>
      </c>
      <c r="N138" s="25">
        <v>98000</v>
      </c>
      <c r="O138" s="25"/>
      <c r="P138" s="25"/>
      <c r="Q138" s="34">
        <f t="shared" si="4"/>
        <v>3864300</v>
      </c>
    </row>
    <row r="139" spans="2:17" s="13" customFormat="1" ht="15.75">
      <c r="B139" s="33" t="s">
        <v>107</v>
      </c>
      <c r="C139" s="29">
        <v>4030</v>
      </c>
      <c r="D139" s="30" t="s">
        <v>25</v>
      </c>
      <c r="E139" s="23" t="s">
        <v>50</v>
      </c>
      <c r="F139" s="34">
        <f t="shared" si="2"/>
        <v>5214150</v>
      </c>
      <c r="G139" s="25">
        <f>3193760+1889350+114700+16340</f>
        <v>5214150</v>
      </c>
      <c r="H139" s="25">
        <f>2384000+1376400+94000</f>
        <v>3854400</v>
      </c>
      <c r="I139" s="25">
        <f>243860+99950</f>
        <v>343810</v>
      </c>
      <c r="J139" s="25"/>
      <c r="K139" s="34">
        <f t="shared" si="50"/>
        <v>4000</v>
      </c>
      <c r="L139" s="35"/>
      <c r="M139" s="25">
        <v>4000</v>
      </c>
      <c r="N139" s="25"/>
      <c r="O139" s="25"/>
      <c r="P139" s="25"/>
      <c r="Q139" s="34">
        <f t="shared" si="4"/>
        <v>5218150</v>
      </c>
    </row>
    <row r="140" spans="2:17" s="13" customFormat="1" ht="15.75">
      <c r="B140" s="33" t="s">
        <v>108</v>
      </c>
      <c r="C140" s="29">
        <v>4040</v>
      </c>
      <c r="D140" s="30" t="s">
        <v>25</v>
      </c>
      <c r="E140" s="47" t="s">
        <v>51</v>
      </c>
      <c r="F140" s="34">
        <f>G140+J140</f>
        <v>1064200</v>
      </c>
      <c r="G140" s="25">
        <f>954200+110000</f>
        <v>1064200</v>
      </c>
      <c r="H140" s="25">
        <f>653600+90000</f>
        <v>743600</v>
      </c>
      <c r="I140" s="25">
        <v>97100</v>
      </c>
      <c r="J140" s="25"/>
      <c r="K140" s="34">
        <f t="shared" si="50"/>
        <v>18000</v>
      </c>
      <c r="L140" s="35"/>
      <c r="M140" s="25">
        <v>18000</v>
      </c>
      <c r="N140" s="25"/>
      <c r="O140" s="25">
        <v>2000</v>
      </c>
      <c r="P140" s="25"/>
      <c r="Q140" s="34">
        <f aca="true" t="shared" si="51" ref="Q140:Q160">F140+K140</f>
        <v>1082200</v>
      </c>
    </row>
    <row r="141" spans="2:17" s="13" customFormat="1" ht="30">
      <c r="B141" s="33" t="s">
        <v>109</v>
      </c>
      <c r="C141" s="29">
        <v>4060</v>
      </c>
      <c r="D141" s="30" t="s">
        <v>2</v>
      </c>
      <c r="E141" s="47" t="s">
        <v>52</v>
      </c>
      <c r="F141" s="34">
        <f>G141+J141</f>
        <v>6299990</v>
      </c>
      <c r="G141" s="25">
        <f>2878640+3035150+274400+111800</f>
        <v>6299990</v>
      </c>
      <c r="H141" s="25">
        <f>1610000+2153700+225100</f>
        <v>3988800</v>
      </c>
      <c r="I141" s="25">
        <f>809240+298350</f>
        <v>1107590</v>
      </c>
      <c r="J141" s="25"/>
      <c r="K141" s="34">
        <f t="shared" si="50"/>
        <v>98000</v>
      </c>
      <c r="L141" s="35"/>
      <c r="M141" s="25">
        <v>98000</v>
      </c>
      <c r="N141" s="25">
        <v>68000</v>
      </c>
      <c r="O141" s="25">
        <v>4600</v>
      </c>
      <c r="P141" s="25"/>
      <c r="Q141" s="34">
        <f t="shared" si="51"/>
        <v>6397990</v>
      </c>
    </row>
    <row r="142" spans="2:17" s="13" customFormat="1" ht="15.75">
      <c r="B142" s="33" t="s">
        <v>225</v>
      </c>
      <c r="C142" s="29">
        <v>4080</v>
      </c>
      <c r="D142" s="30"/>
      <c r="E142" s="47" t="s">
        <v>226</v>
      </c>
      <c r="F142" s="34">
        <f>F143+F144</f>
        <v>338800</v>
      </c>
      <c r="G142" s="35">
        <f aca="true" t="shared" si="52" ref="G142:P142">G143+G144</f>
        <v>338800</v>
      </c>
      <c r="H142" s="35">
        <f t="shared" si="52"/>
        <v>0</v>
      </c>
      <c r="I142" s="35">
        <f t="shared" si="52"/>
        <v>0</v>
      </c>
      <c r="J142" s="35">
        <f t="shared" si="52"/>
        <v>0</v>
      </c>
      <c r="K142" s="34">
        <f t="shared" si="52"/>
        <v>0</v>
      </c>
      <c r="L142" s="35">
        <f t="shared" si="52"/>
        <v>0</v>
      </c>
      <c r="M142" s="35">
        <f t="shared" si="52"/>
        <v>0</v>
      </c>
      <c r="N142" s="35">
        <f t="shared" si="52"/>
        <v>0</v>
      </c>
      <c r="O142" s="35">
        <f t="shared" si="52"/>
        <v>0</v>
      </c>
      <c r="P142" s="35">
        <f t="shared" si="52"/>
        <v>0</v>
      </c>
      <c r="Q142" s="34">
        <f t="shared" si="51"/>
        <v>338800</v>
      </c>
    </row>
    <row r="143" spans="2:17" s="13" customFormat="1" ht="15.75" hidden="1">
      <c r="B143" s="33"/>
      <c r="C143" s="29"/>
      <c r="D143" s="30"/>
      <c r="E143" s="47"/>
      <c r="F143" s="34">
        <f>G143+J143</f>
        <v>0</v>
      </c>
      <c r="G143" s="25"/>
      <c r="H143" s="25"/>
      <c r="I143" s="25"/>
      <c r="J143" s="25"/>
      <c r="K143" s="34">
        <f t="shared" si="50"/>
        <v>0</v>
      </c>
      <c r="L143" s="35"/>
      <c r="M143" s="25"/>
      <c r="N143" s="25"/>
      <c r="O143" s="25"/>
      <c r="P143" s="25"/>
      <c r="Q143" s="34">
        <f t="shared" si="51"/>
        <v>0</v>
      </c>
    </row>
    <row r="144" spans="2:17" s="13" customFormat="1" ht="15.75">
      <c r="B144" s="33" t="s">
        <v>110</v>
      </c>
      <c r="C144" s="29">
        <v>4082</v>
      </c>
      <c r="D144" s="30" t="s">
        <v>23</v>
      </c>
      <c r="E144" s="19" t="s">
        <v>60</v>
      </c>
      <c r="F144" s="34">
        <f>G144+J144</f>
        <v>338800</v>
      </c>
      <c r="G144" s="25">
        <f>G145+G146</f>
        <v>338800</v>
      </c>
      <c r="H144" s="25">
        <f aca="true" t="shared" si="53" ref="H144:P144">H145+H146</f>
        <v>0</v>
      </c>
      <c r="I144" s="25">
        <f t="shared" si="53"/>
        <v>0</v>
      </c>
      <c r="J144" s="25">
        <f t="shared" si="53"/>
        <v>0</v>
      </c>
      <c r="K144" s="25">
        <f t="shared" si="53"/>
        <v>0</v>
      </c>
      <c r="L144" s="25">
        <f t="shared" si="53"/>
        <v>0</v>
      </c>
      <c r="M144" s="25">
        <f t="shared" si="53"/>
        <v>0</v>
      </c>
      <c r="N144" s="25">
        <f t="shared" si="53"/>
        <v>0</v>
      </c>
      <c r="O144" s="25">
        <f t="shared" si="53"/>
        <v>0</v>
      </c>
      <c r="P144" s="25">
        <f t="shared" si="53"/>
        <v>0</v>
      </c>
      <c r="Q144" s="34">
        <f t="shared" si="51"/>
        <v>338800</v>
      </c>
    </row>
    <row r="145" spans="2:17" s="13" customFormat="1" ht="30">
      <c r="B145" s="33"/>
      <c r="C145" s="29"/>
      <c r="D145" s="30"/>
      <c r="E145" s="44" t="s">
        <v>175</v>
      </c>
      <c r="F145" s="34">
        <f>G145+J145</f>
        <v>310000</v>
      </c>
      <c r="G145" s="25">
        <f>110000+200000</f>
        <v>310000</v>
      </c>
      <c r="H145" s="25"/>
      <c r="I145" s="25"/>
      <c r="J145" s="25"/>
      <c r="K145" s="34">
        <f t="shared" si="50"/>
        <v>0</v>
      </c>
      <c r="L145" s="35"/>
      <c r="M145" s="25"/>
      <c r="N145" s="25"/>
      <c r="O145" s="25"/>
      <c r="P145" s="25"/>
      <c r="Q145" s="34">
        <f t="shared" si="51"/>
        <v>310000</v>
      </c>
    </row>
    <row r="146" spans="2:17" s="13" customFormat="1" ht="15.75">
      <c r="B146" s="33"/>
      <c r="C146" s="18"/>
      <c r="D146" s="18"/>
      <c r="E146" s="44" t="s">
        <v>139</v>
      </c>
      <c r="F146" s="34">
        <f>G146+J146</f>
        <v>28800</v>
      </c>
      <c r="G146" s="25">
        <v>28800</v>
      </c>
      <c r="H146" s="25"/>
      <c r="I146" s="25"/>
      <c r="J146" s="25"/>
      <c r="K146" s="34">
        <f t="shared" si="50"/>
        <v>0</v>
      </c>
      <c r="L146" s="35"/>
      <c r="M146" s="25"/>
      <c r="N146" s="25"/>
      <c r="O146" s="25"/>
      <c r="P146" s="25"/>
      <c r="Q146" s="34">
        <f t="shared" si="51"/>
        <v>28800</v>
      </c>
    </row>
    <row r="147" spans="2:17" s="13" customFormat="1" ht="29.25">
      <c r="B147" s="31">
        <v>3700000</v>
      </c>
      <c r="C147" s="14"/>
      <c r="D147" s="14"/>
      <c r="E147" s="26" t="s">
        <v>104</v>
      </c>
      <c r="F147" s="34">
        <f>F148</f>
        <v>1426960</v>
      </c>
      <c r="G147" s="34">
        <f>G148</f>
        <v>1226960</v>
      </c>
      <c r="H147" s="34">
        <f>H148</f>
        <v>941500</v>
      </c>
      <c r="I147" s="34">
        <f>I148</f>
        <v>0</v>
      </c>
      <c r="J147" s="34">
        <f>J148</f>
        <v>0</v>
      </c>
      <c r="K147" s="34">
        <f t="shared" si="50"/>
        <v>6964657</v>
      </c>
      <c r="L147" s="34">
        <f>L148</f>
        <v>6836971</v>
      </c>
      <c r="M147" s="34">
        <f>M148</f>
        <v>0</v>
      </c>
      <c r="N147" s="34">
        <f>N148</f>
        <v>0</v>
      </c>
      <c r="O147" s="34">
        <f>O148</f>
        <v>0</v>
      </c>
      <c r="P147" s="34">
        <f>P148</f>
        <v>6964657</v>
      </c>
      <c r="Q147" s="34">
        <f t="shared" si="51"/>
        <v>8391617</v>
      </c>
    </row>
    <row r="148" spans="2:17" s="13" customFormat="1" ht="30">
      <c r="B148" s="31">
        <v>3710000</v>
      </c>
      <c r="C148" s="14"/>
      <c r="D148" s="14"/>
      <c r="E148" s="26" t="s">
        <v>105</v>
      </c>
      <c r="F148" s="34">
        <f>F149+F150+F154+F152+F156</f>
        <v>1426960</v>
      </c>
      <c r="G148" s="34">
        <f>G149+G150+G154+G152+G156</f>
        <v>1226960</v>
      </c>
      <c r="H148" s="34">
        <f>H149+H150+H154+H152+H156</f>
        <v>941500</v>
      </c>
      <c r="I148" s="34">
        <f>I149+I150+I154+I152+I156</f>
        <v>0</v>
      </c>
      <c r="J148" s="34">
        <f>J149+J150+J154+J152+J156</f>
        <v>0</v>
      </c>
      <c r="K148" s="34">
        <f aca="true" t="shared" si="54" ref="K148:P148">K149+K150+K154+K152+K156+K158</f>
        <v>6964657</v>
      </c>
      <c r="L148" s="34">
        <f t="shared" si="54"/>
        <v>6836971</v>
      </c>
      <c r="M148" s="34">
        <f t="shared" si="54"/>
        <v>0</v>
      </c>
      <c r="N148" s="34">
        <f t="shared" si="54"/>
        <v>0</v>
      </c>
      <c r="O148" s="34">
        <f t="shared" si="54"/>
        <v>0</v>
      </c>
      <c r="P148" s="34">
        <f t="shared" si="54"/>
        <v>6964657</v>
      </c>
      <c r="Q148" s="34">
        <f t="shared" si="51"/>
        <v>8391617</v>
      </c>
    </row>
    <row r="149" spans="1:17" s="13" customFormat="1" ht="45">
      <c r="A149" s="13">
        <v>250102</v>
      </c>
      <c r="B149" s="31">
        <v>3710160</v>
      </c>
      <c r="C149" s="18" t="s">
        <v>77</v>
      </c>
      <c r="D149" s="18" t="s">
        <v>22</v>
      </c>
      <c r="E149" s="23" t="s">
        <v>103</v>
      </c>
      <c r="F149" s="34">
        <f>G149+J149</f>
        <v>1226960</v>
      </c>
      <c r="G149" s="34">
        <f>1218630+8330</f>
        <v>1226960</v>
      </c>
      <c r="H149" s="34">
        <v>941500</v>
      </c>
      <c r="I149" s="34"/>
      <c r="J149" s="34"/>
      <c r="K149" s="34">
        <f t="shared" si="50"/>
        <v>21500</v>
      </c>
      <c r="L149" s="34">
        <v>21500</v>
      </c>
      <c r="M149" s="34"/>
      <c r="N149" s="34"/>
      <c r="O149" s="34"/>
      <c r="P149" s="34">
        <v>21500</v>
      </c>
      <c r="Q149" s="34">
        <f t="shared" si="51"/>
        <v>1248460</v>
      </c>
    </row>
    <row r="150" spans="2:17" s="13" customFormat="1" ht="15.75">
      <c r="B150" s="17" t="s">
        <v>234</v>
      </c>
      <c r="C150" s="30" t="s">
        <v>148</v>
      </c>
      <c r="D150" s="30" t="s">
        <v>24</v>
      </c>
      <c r="E150" s="23" t="s">
        <v>147</v>
      </c>
      <c r="F150" s="34">
        <f>F151</f>
        <v>200000</v>
      </c>
      <c r="G150" s="34"/>
      <c r="H150" s="34"/>
      <c r="I150" s="34"/>
      <c r="J150" s="34"/>
      <c r="K150" s="34"/>
      <c r="L150" s="34"/>
      <c r="M150" s="34"/>
      <c r="N150" s="34"/>
      <c r="O150" s="34"/>
      <c r="P150" s="34"/>
      <c r="Q150" s="34">
        <f t="shared" si="51"/>
        <v>200000</v>
      </c>
    </row>
    <row r="151" spans="2:17" s="13" customFormat="1" ht="30">
      <c r="B151" s="17"/>
      <c r="C151" s="30"/>
      <c r="D151" s="30"/>
      <c r="E151" s="38" t="s">
        <v>174</v>
      </c>
      <c r="F151" s="34">
        <v>200000</v>
      </c>
      <c r="G151" s="34"/>
      <c r="H151" s="34"/>
      <c r="I151" s="34"/>
      <c r="J151" s="34"/>
      <c r="K151" s="34"/>
      <c r="L151" s="34"/>
      <c r="M151" s="34"/>
      <c r="N151" s="34"/>
      <c r="O151" s="34"/>
      <c r="P151" s="34"/>
      <c r="Q151" s="34">
        <f t="shared" si="51"/>
        <v>200000</v>
      </c>
    </row>
    <row r="152" spans="2:17" s="13" customFormat="1" ht="75">
      <c r="B152" s="31">
        <v>3719490</v>
      </c>
      <c r="C152" s="30" t="s">
        <v>277</v>
      </c>
      <c r="D152" s="30" t="s">
        <v>238</v>
      </c>
      <c r="E152" s="23" t="s">
        <v>274</v>
      </c>
      <c r="F152" s="34">
        <f>F153</f>
        <v>0</v>
      </c>
      <c r="G152" s="34">
        <f aca="true" t="shared" si="55" ref="G152:P152">G153</f>
        <v>0</v>
      </c>
      <c r="H152" s="34">
        <f t="shared" si="55"/>
        <v>0</v>
      </c>
      <c r="I152" s="34">
        <f t="shared" si="55"/>
        <v>0</v>
      </c>
      <c r="J152" s="34">
        <f t="shared" si="55"/>
        <v>0</v>
      </c>
      <c r="K152" s="34">
        <f t="shared" si="55"/>
        <v>127686</v>
      </c>
      <c r="L152" s="34">
        <f t="shared" si="55"/>
        <v>0</v>
      </c>
      <c r="M152" s="34">
        <f t="shared" si="55"/>
        <v>0</v>
      </c>
      <c r="N152" s="34">
        <f t="shared" si="55"/>
        <v>0</v>
      </c>
      <c r="O152" s="34">
        <f t="shared" si="55"/>
        <v>0</v>
      </c>
      <c r="P152" s="34">
        <f t="shared" si="55"/>
        <v>127686</v>
      </c>
      <c r="Q152" s="34">
        <f t="shared" si="51"/>
        <v>127686</v>
      </c>
    </row>
    <row r="153" spans="2:17" s="13" customFormat="1" ht="75">
      <c r="B153" s="17"/>
      <c r="C153" s="30"/>
      <c r="D153" s="30"/>
      <c r="E153" s="38" t="s">
        <v>257</v>
      </c>
      <c r="F153" s="34">
        <f>G153</f>
        <v>0</v>
      </c>
      <c r="G153" s="34"/>
      <c r="H153" s="34"/>
      <c r="I153" s="34"/>
      <c r="J153" s="34"/>
      <c r="K153" s="34">
        <f>L153+P153</f>
        <v>127686</v>
      </c>
      <c r="L153" s="34"/>
      <c r="M153" s="34"/>
      <c r="N153" s="34"/>
      <c r="O153" s="34"/>
      <c r="P153" s="34">
        <v>127686</v>
      </c>
      <c r="Q153" s="34">
        <f t="shared" si="51"/>
        <v>127686</v>
      </c>
    </row>
    <row r="154" spans="2:17" s="13" customFormat="1" ht="30">
      <c r="B154" s="31">
        <v>3719750</v>
      </c>
      <c r="C154" s="30" t="s">
        <v>237</v>
      </c>
      <c r="D154" s="30" t="s">
        <v>238</v>
      </c>
      <c r="E154" s="23" t="s">
        <v>239</v>
      </c>
      <c r="F154" s="34">
        <f>F155</f>
        <v>0</v>
      </c>
      <c r="G154" s="34">
        <f aca="true" t="shared" si="56" ref="G154:P154">G155</f>
        <v>0</v>
      </c>
      <c r="H154" s="34">
        <f t="shared" si="56"/>
        <v>0</v>
      </c>
      <c r="I154" s="34">
        <f t="shared" si="56"/>
        <v>0</v>
      </c>
      <c r="J154" s="34">
        <f t="shared" si="56"/>
        <v>0</v>
      </c>
      <c r="K154" s="34">
        <f t="shared" si="56"/>
        <v>4000000</v>
      </c>
      <c r="L154" s="34">
        <f t="shared" si="56"/>
        <v>4000000</v>
      </c>
      <c r="M154" s="34">
        <f t="shared" si="56"/>
        <v>0</v>
      </c>
      <c r="N154" s="34">
        <f t="shared" si="56"/>
        <v>0</v>
      </c>
      <c r="O154" s="34">
        <f t="shared" si="56"/>
        <v>0</v>
      </c>
      <c r="P154" s="34">
        <f t="shared" si="56"/>
        <v>4000000</v>
      </c>
      <c r="Q154" s="34">
        <f t="shared" si="51"/>
        <v>4000000</v>
      </c>
    </row>
    <row r="155" spans="2:17" s="13" customFormat="1" ht="120" customHeight="1">
      <c r="B155" s="31"/>
      <c r="C155" s="30"/>
      <c r="D155" s="30"/>
      <c r="E155" s="38" t="s">
        <v>248</v>
      </c>
      <c r="F155" s="34">
        <f>G155+J155</f>
        <v>0</v>
      </c>
      <c r="G155" s="34"/>
      <c r="H155" s="34"/>
      <c r="I155" s="34"/>
      <c r="J155" s="34"/>
      <c r="K155" s="34">
        <f>M155+P155</f>
        <v>4000000</v>
      </c>
      <c r="L155" s="34">
        <f>2000000+2000000</f>
        <v>4000000</v>
      </c>
      <c r="M155" s="34"/>
      <c r="N155" s="34"/>
      <c r="O155" s="34"/>
      <c r="P155" s="34">
        <f>2000000+2000000</f>
        <v>4000000</v>
      </c>
      <c r="Q155" s="34">
        <f>F155+K155</f>
        <v>4000000</v>
      </c>
    </row>
    <row r="156" spans="2:17" s="13" customFormat="1" ht="39" customHeight="1">
      <c r="B156" s="31">
        <v>3719720</v>
      </c>
      <c r="C156" s="30" t="s">
        <v>276</v>
      </c>
      <c r="D156" s="30" t="s">
        <v>238</v>
      </c>
      <c r="E156" s="23" t="s">
        <v>275</v>
      </c>
      <c r="F156" s="34">
        <f>G156+J156</f>
        <v>0</v>
      </c>
      <c r="G156" s="34">
        <f>G157</f>
        <v>0</v>
      </c>
      <c r="H156" s="34">
        <f aca="true" t="shared" si="57" ref="H156:P156">H157</f>
        <v>0</v>
      </c>
      <c r="I156" s="34">
        <f t="shared" si="57"/>
        <v>0</v>
      </c>
      <c r="J156" s="34">
        <f t="shared" si="57"/>
        <v>0</v>
      </c>
      <c r="K156" s="34">
        <f t="shared" si="57"/>
        <v>2715471</v>
      </c>
      <c r="L156" s="34">
        <f t="shared" si="57"/>
        <v>2715471</v>
      </c>
      <c r="M156" s="34">
        <f t="shared" si="57"/>
        <v>0</v>
      </c>
      <c r="N156" s="34">
        <f t="shared" si="57"/>
        <v>0</v>
      </c>
      <c r="O156" s="34">
        <f t="shared" si="57"/>
        <v>0</v>
      </c>
      <c r="P156" s="34">
        <f t="shared" si="57"/>
        <v>2715471</v>
      </c>
      <c r="Q156" s="34">
        <f t="shared" si="51"/>
        <v>2715471</v>
      </c>
    </row>
    <row r="157" spans="2:17" s="13" customFormat="1" ht="81" customHeight="1">
      <c r="B157" s="31"/>
      <c r="C157" s="30"/>
      <c r="D157" s="30"/>
      <c r="E157" s="38" t="s">
        <v>257</v>
      </c>
      <c r="F157" s="34">
        <f>G157+J157</f>
        <v>0</v>
      </c>
      <c r="G157" s="34"/>
      <c r="H157" s="34"/>
      <c r="I157" s="34"/>
      <c r="J157" s="34"/>
      <c r="K157" s="34">
        <f>M157+P157</f>
        <v>2715471</v>
      </c>
      <c r="L157" s="34">
        <f>1715471+1000000</f>
        <v>2715471</v>
      </c>
      <c r="M157" s="34"/>
      <c r="N157" s="34"/>
      <c r="O157" s="34"/>
      <c r="P157" s="34">
        <f>1715471+1000000</f>
        <v>2715471</v>
      </c>
      <c r="Q157" s="34">
        <f t="shared" si="51"/>
        <v>2715471</v>
      </c>
    </row>
    <row r="158" spans="2:17" s="13" customFormat="1" ht="39.75" customHeight="1">
      <c r="B158" s="31">
        <v>3719770</v>
      </c>
      <c r="C158" s="30" t="s">
        <v>285</v>
      </c>
      <c r="D158" s="30" t="s">
        <v>238</v>
      </c>
      <c r="E158" s="23" t="s">
        <v>284</v>
      </c>
      <c r="F158" s="34"/>
      <c r="G158" s="34"/>
      <c r="H158" s="34"/>
      <c r="I158" s="34"/>
      <c r="J158" s="34"/>
      <c r="K158" s="34">
        <f>M158+P158</f>
        <v>100000</v>
      </c>
      <c r="L158" s="34">
        <v>100000</v>
      </c>
      <c r="M158" s="34"/>
      <c r="N158" s="34"/>
      <c r="O158" s="34"/>
      <c r="P158" s="34">
        <v>100000</v>
      </c>
      <c r="Q158" s="34">
        <f t="shared" si="51"/>
        <v>100000</v>
      </c>
    </row>
    <row r="159" spans="2:17" s="13" customFormat="1" ht="94.5" customHeight="1">
      <c r="B159" s="31"/>
      <c r="C159" s="30"/>
      <c r="D159" s="30"/>
      <c r="E159" s="38" t="s">
        <v>288</v>
      </c>
      <c r="F159" s="34"/>
      <c r="G159" s="34"/>
      <c r="H159" s="34"/>
      <c r="I159" s="34"/>
      <c r="J159" s="34"/>
      <c r="K159" s="34">
        <f>M159+P159</f>
        <v>100000</v>
      </c>
      <c r="L159" s="34">
        <v>100000</v>
      </c>
      <c r="M159" s="34"/>
      <c r="N159" s="34"/>
      <c r="O159" s="34"/>
      <c r="P159" s="34">
        <v>100000</v>
      </c>
      <c r="Q159" s="34">
        <f t="shared" si="51"/>
        <v>100000</v>
      </c>
    </row>
    <row r="160" spans="2:17" s="12" customFormat="1" ht="19.5" customHeight="1">
      <c r="B160" s="27"/>
      <c r="C160" s="27"/>
      <c r="D160" s="27"/>
      <c r="E160" s="27" t="s">
        <v>9</v>
      </c>
      <c r="F160" s="34">
        <f>F10+F97+F135+F147+F120</f>
        <v>298456957</v>
      </c>
      <c r="G160" s="34">
        <f aca="true" t="shared" si="58" ref="G160:P160">G10+G97+G135+G147+G120</f>
        <v>286416455</v>
      </c>
      <c r="H160" s="34">
        <f t="shared" si="58"/>
        <v>184842584</v>
      </c>
      <c r="I160" s="34">
        <f t="shared" si="58"/>
        <v>23993850</v>
      </c>
      <c r="J160" s="34">
        <f t="shared" si="58"/>
        <v>11840502</v>
      </c>
      <c r="K160" s="34">
        <f>K10+K97+K135+K147+K120</f>
        <v>25334891</v>
      </c>
      <c r="L160" s="34">
        <f t="shared" si="58"/>
        <v>20921711</v>
      </c>
      <c r="M160" s="34">
        <f t="shared" si="58"/>
        <v>3727844</v>
      </c>
      <c r="N160" s="34">
        <f t="shared" si="58"/>
        <v>782800</v>
      </c>
      <c r="O160" s="34">
        <f t="shared" si="58"/>
        <v>42700</v>
      </c>
      <c r="P160" s="34">
        <f t="shared" si="58"/>
        <v>21607047</v>
      </c>
      <c r="Q160" s="34">
        <f t="shared" si="51"/>
        <v>323791848</v>
      </c>
    </row>
    <row r="161" ht="22.5" customHeight="1"/>
    <row r="162" spans="5:16" ht="30.75" customHeight="1">
      <c r="E162" s="40"/>
      <c r="F162" s="66" t="s">
        <v>106</v>
      </c>
      <c r="G162" s="67"/>
      <c r="H162" s="67"/>
      <c r="I162" s="67"/>
      <c r="J162" s="67"/>
      <c r="K162" s="67"/>
      <c r="L162" s="67"/>
      <c r="M162" s="67"/>
      <c r="N162" s="67"/>
      <c r="O162" s="67"/>
      <c r="P162" s="67"/>
    </row>
    <row r="163" ht="12.75">
      <c r="F163" s="22"/>
    </row>
    <row r="164" spans="6:16" ht="52.5" customHeight="1">
      <c r="F164" s="64" t="s">
        <v>233</v>
      </c>
      <c r="G164" s="64"/>
      <c r="H164" s="64"/>
      <c r="I164" s="64"/>
      <c r="J164" s="64"/>
      <c r="K164" s="64"/>
      <c r="L164" s="64"/>
      <c r="M164" s="64"/>
      <c r="N164" s="64"/>
      <c r="O164" s="64"/>
      <c r="P164" s="64"/>
    </row>
    <row r="165" ht="12.75">
      <c r="H165" s="22"/>
    </row>
    <row r="166" spans="6:17" ht="12.75">
      <c r="F166" s="49"/>
      <c r="G166" s="49"/>
      <c r="H166" s="49"/>
      <c r="I166" s="49"/>
      <c r="J166" s="49"/>
      <c r="K166" s="49"/>
      <c r="L166" s="49"/>
      <c r="M166" s="49"/>
      <c r="N166" s="49"/>
      <c r="O166" s="49"/>
      <c r="P166" s="49"/>
      <c r="Q166" s="49"/>
    </row>
    <row r="167" spans="6:17" ht="12.75">
      <c r="F167" s="22"/>
      <c r="G167" s="22"/>
      <c r="H167" s="22"/>
      <c r="I167" s="22"/>
      <c r="J167" s="22"/>
      <c r="K167" s="22"/>
      <c r="L167" s="22"/>
      <c r="M167" s="22"/>
      <c r="N167" s="22"/>
      <c r="O167" s="22"/>
      <c r="P167" s="22"/>
      <c r="Q167" s="22"/>
    </row>
    <row r="169" spans="6:21" ht="12.75">
      <c r="F169" s="22"/>
      <c r="G169" s="22"/>
      <c r="H169" s="22"/>
      <c r="I169" s="22"/>
      <c r="J169" s="22"/>
      <c r="K169" s="22"/>
      <c r="L169" s="22"/>
      <c r="M169" s="22"/>
      <c r="N169" s="22"/>
      <c r="O169" s="22"/>
      <c r="P169" s="22"/>
      <c r="Q169" s="22"/>
      <c r="R169" s="22"/>
      <c r="S169" s="22"/>
      <c r="T169" s="22"/>
      <c r="U169" s="22"/>
    </row>
  </sheetData>
  <sheetProtection/>
  <mergeCells count="26">
    <mergeCell ref="B3:C3"/>
    <mergeCell ref="B4:C4"/>
    <mergeCell ref="N1:Q1"/>
    <mergeCell ref="F164:P164"/>
    <mergeCell ref="F5:J5"/>
    <mergeCell ref="K5:P5"/>
    <mergeCell ref="F6:F8"/>
    <mergeCell ref="G6:G8"/>
    <mergeCell ref="M6:M8"/>
    <mergeCell ref="F162:P162"/>
    <mergeCell ref="L6:L8"/>
    <mergeCell ref="K6:K8"/>
    <mergeCell ref="H6:I6"/>
    <mergeCell ref="J6:J8"/>
    <mergeCell ref="H7:H8"/>
    <mergeCell ref="I7:I8"/>
    <mergeCell ref="B2:Q2"/>
    <mergeCell ref="B5:B8"/>
    <mergeCell ref="C5:C8"/>
    <mergeCell ref="D5:D8"/>
    <mergeCell ref="E5:E8"/>
    <mergeCell ref="Q5:Q8"/>
    <mergeCell ref="P6:P8"/>
    <mergeCell ref="N7:N8"/>
    <mergeCell ref="O7:O8"/>
    <mergeCell ref="N6:O6"/>
  </mergeCells>
  <printOptions horizontalCentered="1"/>
  <pageMargins left="0.21" right="0.18" top="0.32" bottom="0.33" header="0.11811023622047245" footer="0.16"/>
  <pageSetup blackAndWhite="1" fitToHeight="4" horizontalDpi="600" verticalDpi="600" orientation="landscape" paperSize="9" scale="54" r:id="rId1"/>
  <headerFooter alignWithMargins="0">
    <oddFooter>&amp;C&amp;P</oddFooter>
  </headerFooter>
  <rowBreaks count="1" manualBreakCount="1">
    <brk id="94" min="1"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КАРАВАЕВА ОЛЬГА</dc:creator>
  <cp:keywords/>
  <dc:description/>
  <cp:lastModifiedBy>Пользователь Windows</cp:lastModifiedBy>
  <cp:lastPrinted>2021-06-01T07:53:21Z</cp:lastPrinted>
  <dcterms:created xsi:type="dcterms:W3CDTF">2016-10-26T11:29:24Z</dcterms:created>
  <dcterms:modified xsi:type="dcterms:W3CDTF">2021-06-01T07:57:53Z</dcterms:modified>
  <cp:category/>
  <cp:version/>
  <cp:contentType/>
  <cp:contentStatus/>
</cp:coreProperties>
</file>